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Sheet1 (改)" sheetId="1" r:id="rId1"/>
    <sheet name="Sheet1" sheetId="2" r:id="rId2"/>
  </sheets>
  <externalReferences>
    <externalReference r:id="rId5"/>
  </externalReferences>
  <definedNames>
    <definedName name="_xlnm.Print_Area" localSheetId="1">'Sheet1'!$C$1:$T$56</definedName>
    <definedName name="_xlnm.Print_Area" localSheetId="0">'Sheet1 (改)'!$D$2:$T$68</definedName>
    <definedName name="_xlnm.Print_Titles" localSheetId="1">'Sheet1'!$1:$4</definedName>
  </definedNames>
  <calcPr fullCalcOnLoad="1"/>
</workbook>
</file>

<file path=xl/sharedStrings.xml><?xml version="1.0" encoding="utf-8"?>
<sst xmlns="http://schemas.openxmlformats.org/spreadsheetml/2006/main" count="649" uniqueCount="97">
  <si>
    <t>序号</t>
  </si>
  <si>
    <t>工程细部名称</t>
  </si>
  <si>
    <t>单位</t>
  </si>
  <si>
    <t>适用范围</t>
  </si>
  <si>
    <t>暂定数量</t>
  </si>
  <si>
    <t>限价(元)</t>
  </si>
  <si>
    <t>合计金额
（含税）</t>
  </si>
  <si>
    <t>单价所包含的工作内容</t>
  </si>
  <si>
    <t>损耗（%）</t>
  </si>
  <si>
    <t>计量规则及工程数量确认原则</t>
  </si>
  <si>
    <t>备注</t>
  </si>
  <si>
    <t>建议限价及金额</t>
  </si>
  <si>
    <t>公司指导价</t>
  </si>
  <si>
    <t>巴广渝</t>
  </si>
  <si>
    <t>江习古</t>
  </si>
  <si>
    <t>不含安全费单价</t>
  </si>
  <si>
    <t>金额</t>
  </si>
  <si>
    <t>桥名</t>
  </si>
  <si>
    <t>子目名称</t>
  </si>
  <si>
    <t>数量</t>
  </si>
  <si>
    <t>不含税及安全生产费单价</t>
  </si>
  <si>
    <t>税金3%</t>
  </si>
  <si>
    <t>合价</t>
  </si>
  <si>
    <t>合计(元）</t>
  </si>
  <si>
    <t>工作内容</t>
  </si>
  <si>
    <t>计量规则</t>
  </si>
  <si>
    <t>岷江特大桥</t>
  </si>
  <si>
    <t>预制T梁钢筋</t>
  </si>
  <si>
    <t>kg</t>
  </si>
  <si>
    <t>钢筋的绑扎、焊接、安装等工作；</t>
  </si>
  <si>
    <t>同业主计量规则一致</t>
  </si>
  <si>
    <t>预应力钢绞线</t>
  </si>
  <si>
    <t>设置加工棚，配置加工制作设备；原料及成品上下车及场内转运，下料，制作成型，堆放及保管，预应力系统制安及张拉压浆、封锚、切头等工作；</t>
  </si>
  <si>
    <t>预制T梁砼</t>
  </si>
  <si>
    <t>m3</t>
  </si>
  <si>
    <t>T梁预制混凝土（＞1万方）</t>
  </si>
  <si>
    <t>底胎清理、模板安拆、模板保养、改制和维修、涂脱模剂，砼拌和、浇筑及前后场工作、养生、凿毛、修饰等工作。梁板运输至待安装孔位置的架桥机下，架桥机配合安装及准确落位，安装误差满足设计及规范要求，梁板的临时连接和固定，确保梁体临时稳定和不跑位，并方便后续施工。模板由甲方提供，单价为除模板，主材外的所有费用</t>
  </si>
  <si>
    <t>湿接缝砼</t>
  </si>
  <si>
    <t>现浇湿接缝</t>
  </si>
  <si>
    <t>模板安拆、模板保养，钢筋安装，砼养生、凿毛、修饰等工作（含横隔板及湿接缝）</t>
  </si>
  <si>
    <t>90元/m</t>
  </si>
  <si>
    <t>70元/m</t>
  </si>
  <si>
    <t>防跌落链</t>
  </si>
  <si>
    <t>套</t>
  </si>
  <si>
    <t>预埋件安装，梁板下放到位后连接</t>
  </si>
  <si>
    <t>支座</t>
  </si>
  <si>
    <t>个</t>
  </si>
  <si>
    <t>安装费用</t>
  </si>
  <si>
    <t>犍为互通主线左幅</t>
  </si>
  <si>
    <r>
      <t>预制</t>
    </r>
    <r>
      <rPr>
        <sz val="11"/>
        <color indexed="10"/>
        <rFont val="宋体"/>
        <family val="0"/>
      </rPr>
      <t>安装</t>
    </r>
    <r>
      <rPr>
        <sz val="11"/>
        <color theme="1"/>
        <rFont val="Calibri"/>
        <family val="0"/>
      </rPr>
      <t>T梁砼</t>
    </r>
  </si>
  <si>
    <t>名称中应添加“安装”二字</t>
  </si>
  <si>
    <t>模板安拆、模板保养，钢筋安装，砼养生、凿毛、修饰等工作；</t>
  </si>
  <si>
    <t>指导价中湿接缝包含横隔板工程量，需核算每道数量，再换算</t>
  </si>
  <si>
    <t>取消</t>
  </si>
  <si>
    <t>已包含在梁板制安费用中</t>
  </si>
  <si>
    <t>犍为互通主线右幅</t>
  </si>
  <si>
    <t>底胎清理、模板安拆、模板保养、改制和维修、涂脱模剂，砼拌和、浇筑及前后场工作、养生、凿毛、修饰等工作。梁板运输至待安装孔位置的架桥机下，架桥机配合安装及准确落位，安装误差满足设计及规范要求，梁板的临时连接和固定，确保梁体临时稳定和不跑位，并方便后续施工。</t>
  </si>
  <si>
    <t>犍为互通A1匝道</t>
  </si>
  <si>
    <t>预制安装T梁砼</t>
  </si>
  <si>
    <t>犍为互通B匝道</t>
  </si>
  <si>
    <t>犍为互通C匝道</t>
  </si>
  <si>
    <t>犍为互通E匝道</t>
  </si>
  <si>
    <t>犍为互通F1匝道</t>
  </si>
  <si>
    <t>犍为互通F2匝道</t>
  </si>
  <si>
    <t>犍为互通G匝道</t>
  </si>
  <si>
    <t>预制场建设</t>
  </si>
  <si>
    <t>场地硬化</t>
  </si>
  <si>
    <t>m2</t>
  </si>
  <si>
    <t>浇筑胎座及轨道</t>
  </si>
  <si>
    <t>安全生产费（1.5%）</t>
  </si>
  <si>
    <t>元</t>
  </si>
  <si>
    <t>合计</t>
  </si>
  <si>
    <t>架桥机</t>
  </si>
  <si>
    <t>4台</t>
  </si>
  <si>
    <t>龙门吊</t>
  </si>
  <si>
    <t>6台</t>
  </si>
  <si>
    <t>犍为互通主线桥梁2019年8月完工</t>
  </si>
  <si>
    <t>岷江特大桥14-40跨2019年8月预制完70%，2020年1月架设完。</t>
  </si>
  <si>
    <t>犍互通其它桥梁2019年1月完工</t>
  </si>
  <si>
    <t>2018年6月开始预制</t>
  </si>
  <si>
    <t>17个月</t>
  </si>
  <si>
    <t>每月100片</t>
  </si>
  <si>
    <t>模板50套</t>
  </si>
  <si>
    <t>梁场160人</t>
  </si>
  <si>
    <t>桥面连续50人</t>
  </si>
  <si>
    <t>犍为岸预制场清单</t>
  </si>
  <si>
    <t>最高限价(元)</t>
  </si>
  <si>
    <t>含税合价</t>
  </si>
  <si>
    <t>钢筋下料、转运、钢筋的绑扎、焊接、安装等工作。单价:本项工程所需的所有人工费、机械费、水电费、小五金、低值易耗品、辅助措施费、驻地建设费、安全措施费、文明施工费、劳保用品等的一切费用（不含钢筋材料费）。</t>
  </si>
  <si>
    <t>设置加工棚，配置加工制作设备；原料及成品上下车及场内转运，下料，制作成型，堆放及保管，波纹管制作，预应力系统制安及张拉压浆、封锚、切头等工作。单价:本项工程所需的所有人工费、水电费、小五金、低值易耗品，张拉压浆及相关机械设备费和辅助措施费、驻地建设费、安全措施费、文明施工费、劳保用品等的一切与本工程相关和隐含的费用（不含锚具、钢绞线，波纹管，压浆料材料费）。</t>
  </si>
  <si>
    <t>预制场场地建设：场地平整、场地硬化（按甲方要求硬化）、胎座、龙门吊轨道基础开挖浇筑、凿毛、养生、模板保养等工作。预制场模板轨道切割、安装；板房搭设，供水；洗车池、沉淀池、消防池、绿化、喷淋、设施布置（不含砼）；胎座钢板安装（不含钢板材料）；波纹管制作（不含波纹管材料）；预制场场内卫生打扫及机具标准化摆放。梁板架设：梁板运输至待安装孔位置的架桥机下，架桥机配合安装及准确落位，安装误差满足设计及规范要求，梁板的临时连接和固定，确保梁体临时稳定和不跑位，并方便后续施工，含支座安装（不含支座材料）；端头弹簧筋制作及安装（不含钢筋材料）；单价:本项工程所需的所有人工费、机械费、水电费、小五金、低值易耗品、辅助措施费、驻地建设费、安全措施费、文明施工费、劳保用品等的一切费用（单价不含模板、砼等主材费用，但包含保护层预制块材料）。</t>
  </si>
  <si>
    <t>运距3公里</t>
  </si>
  <si>
    <t>模板安拆、转运、模板保养，钢筋安装，砼养生，凿毛、修饰等工作；单价:本项工程所需的所有人工费、机械费、水电费、小五金、低值易耗品、辅助措施费、驻地建设费、安全措施费、文明施工费、劳保用品等的一切费用。（不含砼材料费、钢筋材料）</t>
  </si>
  <si>
    <t>预埋件安装，梁板下放到位后连接。</t>
  </si>
  <si>
    <t>安全生产费1.5%</t>
  </si>
  <si>
    <t>1.5%的安全生产费，安全施工所需的人工、机械费等。</t>
  </si>
  <si>
    <t>由安保部门按实凭票结算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</si>
</sst>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56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9"/>
      <color rgb="FF002060"/>
      <name val="Calibri"/>
      <family val="0"/>
    </font>
    <font>
      <b/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34" borderId="9" xfId="0" applyFill="1" applyBorder="1" applyAlignment="1">
      <alignment vertical="center" wrapText="1"/>
    </xf>
    <xf numFmtId="178" fontId="0" fillId="0" borderId="9" xfId="0" applyNumberFormat="1" applyBorder="1" applyAlignment="1">
      <alignment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34" borderId="9" xfId="0" applyFill="1" applyBorder="1" applyAlignment="1">
      <alignment vertical="center"/>
    </xf>
    <xf numFmtId="0" fontId="0" fillId="34" borderId="12" xfId="0" applyFill="1" applyBorder="1" applyAlignment="1">
      <alignment horizontal="center" vertical="center"/>
    </xf>
    <xf numFmtId="0" fontId="32" fillId="33" borderId="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32" fillId="34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0" fontId="45" fillId="35" borderId="17" xfId="0" applyFont="1" applyFill="1" applyBorder="1" applyAlignment="1">
      <alignment horizontal="center" vertical="center" wrapText="1"/>
    </xf>
    <xf numFmtId="0" fontId="45" fillId="35" borderId="9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49" fontId="46" fillId="35" borderId="9" xfId="0" applyNumberFormat="1" applyFont="1" applyFill="1" applyBorder="1" applyAlignment="1">
      <alignment horizontal="center" vertical="center" wrapText="1"/>
    </xf>
    <xf numFmtId="176" fontId="47" fillId="35" borderId="9" xfId="0" applyNumberFormat="1" applyFont="1" applyFill="1" applyBorder="1" applyAlignment="1">
      <alignment horizontal="center" vertical="center" wrapText="1"/>
    </xf>
    <xf numFmtId="0" fontId="0" fillId="35" borderId="9" xfId="0" applyFill="1" applyBorder="1" applyAlignment="1">
      <alignment horizontal="center" vertical="center"/>
    </xf>
    <xf numFmtId="0" fontId="0" fillId="35" borderId="9" xfId="0" applyFill="1" applyBorder="1" applyAlignment="1">
      <alignment vertical="center"/>
    </xf>
    <xf numFmtId="0" fontId="0" fillId="35" borderId="9" xfId="0" applyFill="1" applyBorder="1" applyAlignment="1">
      <alignment horizontal="center" vertical="center" wrapText="1"/>
    </xf>
    <xf numFmtId="0" fontId="0" fillId="35" borderId="9" xfId="0" applyFont="1" applyFill="1" applyBorder="1" applyAlignment="1">
      <alignment vertical="center"/>
    </xf>
    <xf numFmtId="0" fontId="45" fillId="35" borderId="9" xfId="0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center" vertical="center" wrapText="1"/>
    </xf>
    <xf numFmtId="0" fontId="45" fillId="35" borderId="19" xfId="0" applyFont="1" applyFill="1" applyBorder="1" applyAlignment="1">
      <alignment horizontal="center" vertical="center" wrapText="1"/>
    </xf>
    <xf numFmtId="0" fontId="46" fillId="35" borderId="9" xfId="0" applyNumberFormat="1" applyFont="1" applyFill="1" applyBorder="1" applyAlignment="1">
      <alignment horizontal="center" vertical="center" wrapText="1"/>
    </xf>
    <xf numFmtId="177" fontId="0" fillId="35" borderId="9" xfId="0" applyNumberFormat="1" applyFill="1" applyBorder="1" applyAlignment="1">
      <alignment vertical="center"/>
    </xf>
    <xf numFmtId="0" fontId="0" fillId="35" borderId="9" xfId="0" applyFill="1" applyBorder="1" applyAlignment="1">
      <alignment vertical="center" wrapText="1"/>
    </xf>
    <xf numFmtId="9" fontId="0" fillId="35" borderId="9" xfId="0" applyNumberForma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2" fillId="34" borderId="0" xfId="0" applyFont="1" applyFill="1" applyAlignment="1">
      <alignment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20" xfId="0" applyFill="1" applyBorder="1" applyAlignment="1">
      <alignment vertical="center" wrapText="1"/>
    </xf>
    <xf numFmtId="0" fontId="32" fillId="35" borderId="9" xfId="0" applyFont="1" applyFill="1" applyBorder="1" applyAlignment="1">
      <alignment horizontal="center" vertical="center" wrapText="1"/>
    </xf>
    <xf numFmtId="0" fontId="32" fillId="35" borderId="9" xfId="0" applyFont="1" applyFill="1" applyBorder="1" applyAlignment="1">
      <alignment horizontal="center" vertical="center" wrapText="1"/>
    </xf>
    <xf numFmtId="0" fontId="32" fillId="35" borderId="9" xfId="0" applyFont="1" applyFill="1" applyBorder="1" applyAlignment="1">
      <alignment horizontal="center" vertical="center"/>
    </xf>
    <xf numFmtId="0" fontId="32" fillId="35" borderId="9" xfId="0" applyFont="1" applyFill="1" applyBorder="1" applyAlignment="1">
      <alignment horizontal="center" vertical="center"/>
    </xf>
    <xf numFmtId="0" fontId="32" fillId="35" borderId="9" xfId="0" applyFont="1" applyFill="1" applyBorder="1" applyAlignment="1">
      <alignment vertical="center"/>
    </xf>
    <xf numFmtId="0" fontId="0" fillId="35" borderId="9" xfId="0" applyFill="1" applyBorder="1" applyAlignment="1">
      <alignment vertical="center" wrapText="1"/>
    </xf>
    <xf numFmtId="0" fontId="0" fillId="35" borderId="0" xfId="0" applyFill="1" applyAlignment="1">
      <alignment vertical="center" wrapText="1"/>
    </xf>
    <xf numFmtId="177" fontId="32" fillId="35" borderId="9" xfId="0" applyNumberFormat="1" applyFont="1" applyFill="1" applyBorder="1" applyAlignment="1">
      <alignment vertical="center"/>
    </xf>
    <xf numFmtId="178" fontId="32" fillId="35" borderId="9" xfId="0" applyNumberFormat="1" applyFont="1" applyFill="1" applyBorder="1" applyAlignment="1">
      <alignment vertical="center"/>
    </xf>
    <xf numFmtId="0" fontId="32" fillId="34" borderId="9" xfId="0" applyFont="1" applyFill="1" applyBorder="1" applyAlignment="1">
      <alignment vertical="center"/>
    </xf>
    <xf numFmtId="178" fontId="0" fillId="35" borderId="9" xfId="0" applyNumberFormat="1" applyFill="1" applyBorder="1" applyAlignment="1">
      <alignment vertical="center"/>
    </xf>
    <xf numFmtId="57" fontId="0" fillId="35" borderId="0" xfId="0" applyNumberFormat="1" applyFill="1" applyAlignment="1">
      <alignment vertical="center"/>
    </xf>
    <xf numFmtId="0" fontId="32" fillId="34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pp\Documents\tencent%20files\188187654\filerecv\400-&#36807;&#31243;&#3129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00第二思路 (不含税)"/>
    </sheetNames>
    <sheetDataSet>
      <sheetData sheetId="0">
        <row r="26">
          <cell r="H26">
            <v>131.067961165049</v>
          </cell>
        </row>
        <row r="28">
          <cell r="H28">
            <v>20</v>
          </cell>
        </row>
        <row r="71">
          <cell r="H71">
            <v>368.932038834951</v>
          </cell>
        </row>
        <row r="488">
          <cell r="H488">
            <v>1750</v>
          </cell>
        </row>
        <row r="490">
          <cell r="H490">
            <v>360</v>
          </cell>
        </row>
        <row r="491">
          <cell r="H491">
            <v>440</v>
          </cell>
        </row>
        <row r="494">
          <cell r="H494">
            <v>150</v>
          </cell>
        </row>
        <row r="508">
          <cell r="H508">
            <v>1360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2:V93"/>
  <sheetViews>
    <sheetView view="pageBreakPreview" zoomScaleSheetLayoutView="100" workbookViewId="0" topLeftCell="C55">
      <selection activeCell="T67" sqref="T67"/>
    </sheetView>
  </sheetViews>
  <sheetFormatPr defaultColWidth="8.7109375" defaultRowHeight="15"/>
  <cols>
    <col min="4" max="7" width="12.8515625" style="36" customWidth="1"/>
    <col min="8" max="8" width="8.7109375" style="36" customWidth="1"/>
    <col min="9" max="9" width="12.8515625" style="36" bestFit="1" customWidth="1"/>
    <col min="10" max="10" width="9.57421875" style="36" bestFit="1" customWidth="1"/>
    <col min="11" max="11" width="11.8515625" style="36" bestFit="1" customWidth="1"/>
    <col min="12" max="12" width="12.8515625" style="36" bestFit="1" customWidth="1"/>
    <col min="13" max="13" width="39.28125" style="36" customWidth="1"/>
    <col min="14" max="14" width="7.421875" style="36" customWidth="1"/>
    <col min="15" max="15" width="10.57421875" style="36" customWidth="1"/>
    <col min="16" max="16" width="8.140625" style="0" customWidth="1"/>
    <col min="17" max="18" width="8.7109375" style="0" customWidth="1"/>
    <col min="19" max="19" width="9.421875" style="1" customWidth="1"/>
    <col min="20" max="20" width="10.421875" style="1" customWidth="1"/>
    <col min="22" max="22" width="9.57421875" style="0" bestFit="1" customWidth="1"/>
  </cols>
  <sheetData>
    <row r="1" ht="14.25"/>
    <row r="2" spans="4:20" ht="13.5">
      <c r="D2" s="37" t="s">
        <v>0</v>
      </c>
      <c r="E2" s="38" t="s">
        <v>1</v>
      </c>
      <c r="F2" s="39" t="s">
        <v>2</v>
      </c>
      <c r="G2" s="39" t="s">
        <v>3</v>
      </c>
      <c r="H2" s="40" t="s">
        <v>4</v>
      </c>
      <c r="I2" s="51" t="s">
        <v>5</v>
      </c>
      <c r="J2" s="51"/>
      <c r="K2" s="51"/>
      <c r="L2" s="52" t="s">
        <v>6</v>
      </c>
      <c r="M2" s="39" t="s">
        <v>7</v>
      </c>
      <c r="N2" s="39" t="s">
        <v>8</v>
      </c>
      <c r="O2" s="39" t="s">
        <v>9</v>
      </c>
      <c r="P2" s="12" t="s">
        <v>10</v>
      </c>
      <c r="Q2" s="17"/>
      <c r="R2" s="18"/>
      <c r="S2" s="19" t="s">
        <v>11</v>
      </c>
      <c r="T2" s="19"/>
    </row>
    <row r="3" spans="4:20" ht="24">
      <c r="D3" s="41"/>
      <c r="E3" s="42"/>
      <c r="F3" s="43"/>
      <c r="G3" s="43"/>
      <c r="H3" s="44"/>
      <c r="I3" s="51"/>
      <c r="J3" s="51"/>
      <c r="K3" s="51"/>
      <c r="L3" s="53"/>
      <c r="M3" s="43"/>
      <c r="N3" s="43"/>
      <c r="O3" s="43"/>
      <c r="P3" s="4" t="s">
        <v>12</v>
      </c>
      <c r="Q3" s="20" t="s">
        <v>13</v>
      </c>
      <c r="R3" s="21" t="s">
        <v>14</v>
      </c>
      <c r="S3" s="22" t="s">
        <v>15</v>
      </c>
      <c r="T3" s="19" t="s">
        <v>16</v>
      </c>
    </row>
    <row r="4" spans="4:20" ht="22.5">
      <c r="D4" s="45" t="s">
        <v>17</v>
      </c>
      <c r="E4" s="45" t="s">
        <v>18</v>
      </c>
      <c r="F4" s="45" t="s">
        <v>2</v>
      </c>
      <c r="G4" s="45"/>
      <c r="H4" s="46" t="s">
        <v>19</v>
      </c>
      <c r="I4" s="46" t="s">
        <v>20</v>
      </c>
      <c r="J4" s="46" t="s">
        <v>21</v>
      </c>
      <c r="K4" s="46" t="s">
        <v>22</v>
      </c>
      <c r="L4" s="46" t="s">
        <v>23</v>
      </c>
      <c r="M4" s="54" t="s">
        <v>24</v>
      </c>
      <c r="N4" s="54"/>
      <c r="O4" s="54" t="s">
        <v>25</v>
      </c>
      <c r="P4" s="13"/>
      <c r="Q4" s="13"/>
      <c r="R4" s="23"/>
      <c r="S4" s="24"/>
      <c r="T4" s="25"/>
    </row>
    <row r="5" spans="4:20" ht="27">
      <c r="D5" s="47" t="s">
        <v>26</v>
      </c>
      <c r="E5" s="48" t="s">
        <v>27</v>
      </c>
      <c r="F5" s="47" t="s">
        <v>28</v>
      </c>
      <c r="G5" s="47"/>
      <c r="H5" s="48">
        <f>4977052+1183335</f>
        <v>6160387</v>
      </c>
      <c r="I5" s="55">
        <f>('[1]400第二思路 (不含税)'!$H$71+'[1]400第二思路 (不含税)'!$H$26+'[1]400第二思路 (不含税)'!$H$28)/1000*95%</f>
        <v>0.494</v>
      </c>
      <c r="J5" s="55">
        <f>I5*3%</f>
        <v>0.01482</v>
      </c>
      <c r="K5" s="55">
        <f>J5+I5</f>
        <v>0.50882</v>
      </c>
      <c r="L5" s="48">
        <f>ROUND(K5*H5,0)</f>
        <v>3134528</v>
      </c>
      <c r="M5" s="48" t="s">
        <v>29</v>
      </c>
      <c r="N5" s="49">
        <v>0</v>
      </c>
      <c r="O5" s="56" t="s">
        <v>30</v>
      </c>
      <c r="P5" s="14">
        <v>0.5</v>
      </c>
      <c r="Q5" s="9">
        <v>0.6</v>
      </c>
      <c r="R5" s="26">
        <v>0.54</v>
      </c>
      <c r="S5" s="27">
        <f>ROUND(P5*98.5%,2)</f>
        <v>0.49</v>
      </c>
      <c r="T5" s="27">
        <f>ROUND(S5*H5,0)</f>
        <v>3018590</v>
      </c>
    </row>
    <row r="6" spans="4:20" ht="54">
      <c r="D6" s="47"/>
      <c r="E6" s="48" t="s">
        <v>31</v>
      </c>
      <c r="F6" s="47" t="s">
        <v>28</v>
      </c>
      <c r="G6" s="47"/>
      <c r="H6" s="48">
        <f>1747583-341643</f>
        <v>1405940</v>
      </c>
      <c r="I6" s="55">
        <f>(1.26+0.16)*95%</f>
        <v>1.349</v>
      </c>
      <c r="J6" s="55">
        <f aca="true" t="shared" si="0" ref="J5:J66">I6*3%</f>
        <v>0.04047</v>
      </c>
      <c r="K6" s="55">
        <f aca="true" t="shared" si="1" ref="K5:K66">J6+I6</f>
        <v>1.38947</v>
      </c>
      <c r="L6" s="48">
        <f aca="true" t="shared" si="2" ref="L5:L66">ROUND(K6*H6,0)</f>
        <v>1953511</v>
      </c>
      <c r="M6" s="56" t="s">
        <v>32</v>
      </c>
      <c r="N6" s="57">
        <v>0.01</v>
      </c>
      <c r="O6" s="56" t="s">
        <v>30</v>
      </c>
      <c r="P6" s="14">
        <v>1.5</v>
      </c>
      <c r="Q6" s="9">
        <v>1.2</v>
      </c>
      <c r="R6" s="26">
        <v>1.4</v>
      </c>
      <c r="S6" s="27">
        <f>ROUND(R6*98.5%,2)</f>
        <v>1.38</v>
      </c>
      <c r="T6" s="27">
        <f>ROUND(S6*H6,0)</f>
        <v>1940197</v>
      </c>
    </row>
    <row r="7" spans="4:22" ht="108">
      <c r="D7" s="47"/>
      <c r="E7" s="48" t="s">
        <v>33</v>
      </c>
      <c r="F7" s="47" t="s">
        <v>34</v>
      </c>
      <c r="G7" s="49" t="s">
        <v>35</v>
      </c>
      <c r="H7" s="48">
        <f>31049.6-6643</f>
        <v>24406.6</v>
      </c>
      <c r="I7" s="55">
        <f>(('[1]400第二思路 (不含税)'!$H$488+'[1]400第二思路 (不含税)'!$H$491+'[1]400第二思路 (不含税)'!$H$490)/10+'[1]400第二思路 (不含税)'!$H$494/10+'[1]400第二思路 (不含税)'!$H$508/10+5)*95%-40</f>
        <v>350.45</v>
      </c>
      <c r="J7" s="55">
        <f t="shared" si="0"/>
        <v>10.513499999999999</v>
      </c>
      <c r="K7" s="55">
        <f t="shared" si="1"/>
        <v>360.9635</v>
      </c>
      <c r="L7" s="48">
        <f t="shared" si="2"/>
        <v>8809892</v>
      </c>
      <c r="M7" s="56" t="s">
        <v>36</v>
      </c>
      <c r="N7" s="49">
        <v>0</v>
      </c>
      <c r="O7" s="56" t="s">
        <v>30</v>
      </c>
      <c r="P7" s="14">
        <v>440</v>
      </c>
      <c r="Q7" s="9">
        <v>490</v>
      </c>
      <c r="R7" s="26">
        <v>440</v>
      </c>
      <c r="S7" s="27">
        <f>ROUND(K7,2)</f>
        <v>360.96</v>
      </c>
      <c r="T7" s="27">
        <f>ROUND(S7*H7,0)</f>
        <v>8809806</v>
      </c>
      <c r="V7">
        <f>H6+H12+H18+H24+H30+H36+H48+H54+H60</f>
        <v>2862218</v>
      </c>
    </row>
    <row r="8" spans="4:22" ht="27">
      <c r="D8" s="47"/>
      <c r="E8" s="48" t="s">
        <v>37</v>
      </c>
      <c r="F8" s="47" t="s">
        <v>34</v>
      </c>
      <c r="G8" s="47" t="s">
        <v>38</v>
      </c>
      <c r="H8" s="48">
        <f>3414.7-751.5</f>
        <v>2663.2</v>
      </c>
      <c r="I8" s="55">
        <f>700*95%</f>
        <v>665</v>
      </c>
      <c r="J8" s="55">
        <f t="shared" si="0"/>
        <v>19.95</v>
      </c>
      <c r="K8" s="55">
        <f t="shared" si="1"/>
        <v>684.95</v>
      </c>
      <c r="L8" s="48">
        <f t="shared" si="2"/>
        <v>1824159</v>
      </c>
      <c r="M8" s="56" t="s">
        <v>39</v>
      </c>
      <c r="N8" s="49">
        <v>0</v>
      </c>
      <c r="O8" s="56" t="s">
        <v>30</v>
      </c>
      <c r="P8" s="14" t="s">
        <v>40</v>
      </c>
      <c r="Q8" s="9"/>
      <c r="R8" s="26" t="s">
        <v>41</v>
      </c>
      <c r="S8" s="27">
        <f>ROUND(K8,2)</f>
        <v>684.95</v>
      </c>
      <c r="T8" s="27">
        <f aca="true" t="shared" si="3" ref="T8:T39">ROUND(S8*H8,0)</f>
        <v>1824159</v>
      </c>
      <c r="V8">
        <f>H5+H11+H29+H35+H17+H41+H47+H53+H59</f>
        <v>10259414</v>
      </c>
    </row>
    <row r="9" spans="4:22" ht="27">
      <c r="D9" s="47"/>
      <c r="E9" s="48" t="s">
        <v>42</v>
      </c>
      <c r="F9" s="47" t="s">
        <v>43</v>
      </c>
      <c r="G9" s="47"/>
      <c r="H9" s="48">
        <v>310</v>
      </c>
      <c r="I9" s="55">
        <f>500*95%</f>
        <v>475</v>
      </c>
      <c r="J9" s="55">
        <f t="shared" si="0"/>
        <v>14.25</v>
      </c>
      <c r="K9" s="55">
        <f t="shared" si="1"/>
        <v>489.25</v>
      </c>
      <c r="L9" s="48">
        <f t="shared" si="2"/>
        <v>151668</v>
      </c>
      <c r="M9" s="48" t="s">
        <v>44</v>
      </c>
      <c r="N9" s="47">
        <v>0</v>
      </c>
      <c r="O9" s="56" t="s">
        <v>30</v>
      </c>
      <c r="P9" s="14"/>
      <c r="Q9" s="9"/>
      <c r="R9" s="26"/>
      <c r="S9" s="27"/>
      <c r="T9" s="27">
        <f t="shared" si="3"/>
        <v>0</v>
      </c>
      <c r="V9">
        <f>H7+H8+H14+H13+H19+H20+H31+H32+H37+H38+H49+H50+H55+H56+H61+H62</f>
        <v>46573.14000000001</v>
      </c>
    </row>
    <row r="10" spans="4:22" ht="27">
      <c r="D10" s="47"/>
      <c r="E10" s="48" t="s">
        <v>45</v>
      </c>
      <c r="F10" s="47" t="s">
        <v>46</v>
      </c>
      <c r="G10" s="47"/>
      <c r="H10" s="48">
        <v>550</v>
      </c>
      <c r="I10" s="55">
        <f>50*95%</f>
        <v>47.5</v>
      </c>
      <c r="J10" s="55">
        <f t="shared" si="0"/>
        <v>1.425</v>
      </c>
      <c r="K10" s="55">
        <f t="shared" si="1"/>
        <v>48.925</v>
      </c>
      <c r="L10" s="48">
        <f t="shared" si="2"/>
        <v>26909</v>
      </c>
      <c r="M10" s="48" t="s">
        <v>47</v>
      </c>
      <c r="N10" s="47">
        <v>0</v>
      </c>
      <c r="O10" s="56" t="s">
        <v>30</v>
      </c>
      <c r="P10" s="14"/>
      <c r="Q10" s="9"/>
      <c r="R10" s="26"/>
      <c r="S10" s="27"/>
      <c r="T10" s="27">
        <f t="shared" si="3"/>
        <v>0</v>
      </c>
      <c r="V10">
        <f>H9+H15+H21+H27+H33+H39+H51+H45+H57+H64</f>
        <v>862</v>
      </c>
    </row>
    <row r="11" spans="4:22" ht="27">
      <c r="D11" s="49" t="s">
        <v>48</v>
      </c>
      <c r="E11" s="48" t="s">
        <v>27</v>
      </c>
      <c r="F11" s="47" t="s">
        <v>28</v>
      </c>
      <c r="G11" s="47"/>
      <c r="H11" s="48">
        <f>1358921+316968</f>
        <v>1675889</v>
      </c>
      <c r="I11" s="55">
        <f>('[1]400第二思路 (不含税)'!$H$71+'[1]400第二思路 (不含税)'!$H$26+'[1]400第二思路 (不含税)'!$H$28)/1000*95%</f>
        <v>0.494</v>
      </c>
      <c r="J11" s="55">
        <f t="shared" si="0"/>
        <v>0.01482</v>
      </c>
      <c r="K11" s="55">
        <f t="shared" si="1"/>
        <v>0.50882</v>
      </c>
      <c r="L11" s="48">
        <f t="shared" si="2"/>
        <v>852726</v>
      </c>
      <c r="M11" s="48" t="s">
        <v>29</v>
      </c>
      <c r="N11" s="49">
        <v>0</v>
      </c>
      <c r="O11" s="56" t="s">
        <v>30</v>
      </c>
      <c r="P11" s="14">
        <v>0.5</v>
      </c>
      <c r="Q11" s="9">
        <v>0.6</v>
      </c>
      <c r="R11" s="26">
        <v>0.54</v>
      </c>
      <c r="S11" s="27">
        <f>ROUND(P11*98.5%,2)</f>
        <v>0.49</v>
      </c>
      <c r="T11" s="27">
        <f t="shared" si="3"/>
        <v>821186</v>
      </c>
      <c r="V11">
        <f>H10+H16+H22+H34+H40+H52+H58+H63</f>
        <v>1268</v>
      </c>
    </row>
    <row r="12" spans="4:20" ht="54">
      <c r="D12" s="49"/>
      <c r="E12" s="48" t="s">
        <v>31</v>
      </c>
      <c r="F12" s="47" t="s">
        <v>28</v>
      </c>
      <c r="G12" s="47"/>
      <c r="H12" s="48">
        <v>1047946</v>
      </c>
      <c r="I12" s="55">
        <f>(1.26+0.16)*95%</f>
        <v>1.349</v>
      </c>
      <c r="J12" s="55">
        <f t="shared" si="0"/>
        <v>0.04047</v>
      </c>
      <c r="K12" s="55">
        <f t="shared" si="1"/>
        <v>1.38947</v>
      </c>
      <c r="L12" s="48">
        <f t="shared" si="2"/>
        <v>1456090</v>
      </c>
      <c r="M12" s="56" t="s">
        <v>32</v>
      </c>
      <c r="N12" s="57">
        <v>0.01</v>
      </c>
      <c r="O12" s="56" t="s">
        <v>30</v>
      </c>
      <c r="P12" s="14">
        <v>1.5</v>
      </c>
      <c r="Q12" s="9">
        <v>1.2</v>
      </c>
      <c r="R12" s="26">
        <v>1.4</v>
      </c>
      <c r="S12" s="27">
        <f>ROUND(R12*98.5%,2)</f>
        <v>1.38</v>
      </c>
      <c r="T12" s="27">
        <f t="shared" si="3"/>
        <v>1446165</v>
      </c>
    </row>
    <row r="13" spans="4:21" ht="108">
      <c r="D13" s="49"/>
      <c r="E13" s="50" t="s">
        <v>49</v>
      </c>
      <c r="F13" s="47" t="s">
        <v>34</v>
      </c>
      <c r="G13" s="49" t="s">
        <v>35</v>
      </c>
      <c r="H13" s="48">
        <v>7941.12</v>
      </c>
      <c r="I13" s="55">
        <f>(('[1]400第二思路 (不含税)'!$H$488+'[1]400第二思路 (不含税)'!$H$491+'[1]400第二思路 (不含税)'!$H$490)/10+'[1]400第二思路 (不含税)'!$H$494/10+'[1]400第二思路 (不含税)'!$H$508/10)*95%-40</f>
        <v>345.7</v>
      </c>
      <c r="J13" s="55">
        <f t="shared" si="0"/>
        <v>10.370999999999999</v>
      </c>
      <c r="K13" s="55">
        <f t="shared" si="1"/>
        <v>356.07099999999997</v>
      </c>
      <c r="L13" s="48">
        <f t="shared" si="2"/>
        <v>2827603</v>
      </c>
      <c r="M13" s="56" t="s">
        <v>36</v>
      </c>
      <c r="N13" s="49">
        <v>0</v>
      </c>
      <c r="O13" s="56" t="s">
        <v>30</v>
      </c>
      <c r="P13" s="14">
        <v>440</v>
      </c>
      <c r="Q13" s="9">
        <v>490</v>
      </c>
      <c r="R13" s="26">
        <v>440</v>
      </c>
      <c r="S13" s="27">
        <f>ROUND(K13,2)</f>
        <v>356.07</v>
      </c>
      <c r="T13" s="27">
        <f t="shared" si="3"/>
        <v>2827595</v>
      </c>
      <c r="U13" s="58" t="s">
        <v>50</v>
      </c>
    </row>
    <row r="14" spans="4:22" s="33" customFormat="1" ht="27">
      <c r="D14" s="49"/>
      <c r="E14" s="48" t="s">
        <v>37</v>
      </c>
      <c r="F14" s="47" t="s">
        <v>34</v>
      </c>
      <c r="G14" s="47" t="s">
        <v>38</v>
      </c>
      <c r="H14" s="48">
        <v>1015.32</v>
      </c>
      <c r="I14" s="55">
        <f>700*95%</f>
        <v>665</v>
      </c>
      <c r="J14" s="55">
        <f t="shared" si="0"/>
        <v>19.95</v>
      </c>
      <c r="K14" s="55">
        <f t="shared" si="1"/>
        <v>684.95</v>
      </c>
      <c r="L14" s="48">
        <f t="shared" si="2"/>
        <v>695443</v>
      </c>
      <c r="M14" s="56" t="s">
        <v>51</v>
      </c>
      <c r="N14" s="49">
        <v>0</v>
      </c>
      <c r="O14" s="56" t="s">
        <v>30</v>
      </c>
      <c r="P14" s="14" t="s">
        <v>40</v>
      </c>
      <c r="Q14" s="28"/>
      <c r="R14" s="29" t="s">
        <v>41</v>
      </c>
      <c r="S14" s="27">
        <f>ROUND(K14,2)</f>
        <v>684.95</v>
      </c>
      <c r="T14" s="27">
        <f t="shared" si="3"/>
        <v>695443</v>
      </c>
      <c r="U14" s="59" t="s">
        <v>52</v>
      </c>
      <c r="V14" s="60"/>
    </row>
    <row r="15" spans="4:21" s="34" customFormat="1" ht="27">
      <c r="D15" s="49"/>
      <c r="E15" s="48" t="s">
        <v>42</v>
      </c>
      <c r="F15" s="47" t="s">
        <v>43</v>
      </c>
      <c r="G15" s="47"/>
      <c r="H15" s="48">
        <v>180</v>
      </c>
      <c r="I15" s="55">
        <f>500*95%</f>
        <v>475</v>
      </c>
      <c r="J15" s="55">
        <f t="shared" si="0"/>
        <v>14.25</v>
      </c>
      <c r="K15" s="55">
        <f t="shared" si="1"/>
        <v>489.25</v>
      </c>
      <c r="L15" s="48">
        <f t="shared" si="2"/>
        <v>88065</v>
      </c>
      <c r="M15" s="48" t="s">
        <v>44</v>
      </c>
      <c r="N15" s="47">
        <v>0</v>
      </c>
      <c r="O15" s="56" t="s">
        <v>30</v>
      </c>
      <c r="P15" s="15"/>
      <c r="Q15" s="30"/>
      <c r="R15" s="31"/>
      <c r="S15" s="27" t="s">
        <v>53</v>
      </c>
      <c r="T15" s="27"/>
      <c r="U15" s="61" t="s">
        <v>54</v>
      </c>
    </row>
    <row r="16" spans="4:21" s="34" customFormat="1" ht="27">
      <c r="D16" s="49"/>
      <c r="E16" s="48" t="s">
        <v>45</v>
      </c>
      <c r="F16" s="47" t="s">
        <v>46</v>
      </c>
      <c r="G16" s="47"/>
      <c r="H16" s="48">
        <v>270</v>
      </c>
      <c r="I16" s="55">
        <f>50*95%</f>
        <v>47.5</v>
      </c>
      <c r="J16" s="55">
        <f t="shared" si="0"/>
        <v>1.425</v>
      </c>
      <c r="K16" s="55">
        <f t="shared" si="1"/>
        <v>48.925</v>
      </c>
      <c r="L16" s="48">
        <f t="shared" si="2"/>
        <v>13210</v>
      </c>
      <c r="M16" s="48" t="s">
        <v>47</v>
      </c>
      <c r="N16" s="47">
        <v>0</v>
      </c>
      <c r="O16" s="56" t="s">
        <v>30</v>
      </c>
      <c r="P16" s="15"/>
      <c r="Q16" s="30"/>
      <c r="R16" s="31"/>
      <c r="S16" s="27" t="s">
        <v>53</v>
      </c>
      <c r="T16" s="27"/>
      <c r="U16" s="61" t="s">
        <v>54</v>
      </c>
    </row>
    <row r="17" spans="4:20" ht="27">
      <c r="D17" s="49" t="s">
        <v>55</v>
      </c>
      <c r="E17" s="48" t="s">
        <v>27</v>
      </c>
      <c r="F17" s="47" t="s">
        <v>28</v>
      </c>
      <c r="G17" s="47"/>
      <c r="H17" s="48">
        <f>1011284+232164</f>
        <v>1243448</v>
      </c>
      <c r="I17" s="55">
        <f>('[1]400第二思路 (不含税)'!$H$71+'[1]400第二思路 (不含税)'!$H$26+'[1]400第二思路 (不含税)'!$H$28)/1000*95%</f>
        <v>0.494</v>
      </c>
      <c r="J17" s="55">
        <f t="shared" si="0"/>
        <v>0.01482</v>
      </c>
      <c r="K17" s="55">
        <f t="shared" si="1"/>
        <v>0.50882</v>
      </c>
      <c r="L17" s="48">
        <f t="shared" si="2"/>
        <v>632691</v>
      </c>
      <c r="M17" s="48" t="s">
        <v>29</v>
      </c>
      <c r="N17" s="49">
        <v>0</v>
      </c>
      <c r="O17" s="56" t="s">
        <v>30</v>
      </c>
      <c r="P17" s="14">
        <v>0.5</v>
      </c>
      <c r="Q17" s="9">
        <v>0.6</v>
      </c>
      <c r="R17" s="26">
        <v>0.54</v>
      </c>
      <c r="S17" s="27">
        <f>ROUND(P17*98.5%,2)</f>
        <v>0.49</v>
      </c>
      <c r="T17" s="27">
        <f t="shared" si="3"/>
        <v>609290</v>
      </c>
    </row>
    <row r="18" spans="4:20" ht="54">
      <c r="D18" s="49"/>
      <c r="E18" s="48" t="s">
        <v>31</v>
      </c>
      <c r="F18" s="47" t="s">
        <v>28</v>
      </c>
      <c r="G18" s="47"/>
      <c r="H18" s="48">
        <v>254732</v>
      </c>
      <c r="I18" s="55">
        <f>(1.26+0.16)*95%</f>
        <v>1.349</v>
      </c>
      <c r="J18" s="55">
        <f t="shared" si="0"/>
        <v>0.04047</v>
      </c>
      <c r="K18" s="55">
        <f t="shared" si="1"/>
        <v>1.38947</v>
      </c>
      <c r="L18" s="48">
        <f t="shared" si="2"/>
        <v>353942</v>
      </c>
      <c r="M18" s="56" t="s">
        <v>32</v>
      </c>
      <c r="N18" s="57">
        <v>0.01</v>
      </c>
      <c r="O18" s="56" t="s">
        <v>30</v>
      </c>
      <c r="P18" s="14">
        <v>1.5</v>
      </c>
      <c r="Q18" s="9">
        <v>1.2</v>
      </c>
      <c r="R18" s="26">
        <v>1.4</v>
      </c>
      <c r="S18" s="27">
        <f>ROUND(R18*98.5%,2)</f>
        <v>1.38</v>
      </c>
      <c r="T18" s="27">
        <f t="shared" si="3"/>
        <v>351530</v>
      </c>
    </row>
    <row r="19" spans="4:21" ht="94.5">
      <c r="D19" s="49"/>
      <c r="E19" s="48" t="s">
        <v>33</v>
      </c>
      <c r="F19" s="47" t="s">
        <v>34</v>
      </c>
      <c r="G19" s="49" t="s">
        <v>35</v>
      </c>
      <c r="H19" s="48">
        <v>5918.4</v>
      </c>
      <c r="I19" s="55">
        <f>(('[1]400第二思路 (不含税)'!$H$488+'[1]400第二思路 (不含税)'!$H$491+'[1]400第二思路 (不含税)'!$H$490)/10+'[1]400第二思路 (不含税)'!$H$494/10+'[1]400第二思路 (不含税)'!$H$508/10)*95%-40</f>
        <v>345.7</v>
      </c>
      <c r="J19" s="55">
        <f t="shared" si="0"/>
        <v>10.370999999999999</v>
      </c>
      <c r="K19" s="55">
        <f t="shared" si="1"/>
        <v>356.07099999999997</v>
      </c>
      <c r="L19" s="48">
        <f t="shared" si="2"/>
        <v>2107371</v>
      </c>
      <c r="M19" s="56" t="s">
        <v>56</v>
      </c>
      <c r="N19" s="49">
        <v>0</v>
      </c>
      <c r="O19" s="56" t="s">
        <v>30</v>
      </c>
      <c r="P19" s="14">
        <v>440</v>
      </c>
      <c r="Q19" s="9">
        <v>490</v>
      </c>
      <c r="R19" s="26">
        <v>440</v>
      </c>
      <c r="S19" s="27">
        <f>ROUND(K19,2)</f>
        <v>356.07</v>
      </c>
      <c r="T19" s="27">
        <f t="shared" si="3"/>
        <v>2107365</v>
      </c>
      <c r="U19" s="58" t="s">
        <v>50</v>
      </c>
    </row>
    <row r="20" spans="4:20" ht="27">
      <c r="D20" s="49"/>
      <c r="E20" s="48" t="s">
        <v>37</v>
      </c>
      <c r="F20" s="47" t="s">
        <v>34</v>
      </c>
      <c r="G20" s="47" t="s">
        <v>38</v>
      </c>
      <c r="H20" s="48">
        <v>750.6</v>
      </c>
      <c r="I20" s="55">
        <f>700*95%</f>
        <v>665</v>
      </c>
      <c r="J20" s="55">
        <f t="shared" si="0"/>
        <v>19.95</v>
      </c>
      <c r="K20" s="55">
        <f t="shared" si="1"/>
        <v>684.95</v>
      </c>
      <c r="L20" s="48">
        <f t="shared" si="2"/>
        <v>514123</v>
      </c>
      <c r="M20" s="56" t="s">
        <v>51</v>
      </c>
      <c r="N20" s="49">
        <v>0</v>
      </c>
      <c r="O20" s="56" t="s">
        <v>30</v>
      </c>
      <c r="P20" s="14" t="s">
        <v>40</v>
      </c>
      <c r="Q20" s="9"/>
      <c r="R20" s="26" t="s">
        <v>41</v>
      </c>
      <c r="S20" s="27">
        <f>ROUND(K20,2)</f>
        <v>684.95</v>
      </c>
      <c r="T20" s="27">
        <f t="shared" si="3"/>
        <v>514123</v>
      </c>
    </row>
    <row r="21" spans="4:20" ht="27">
      <c r="D21" s="49"/>
      <c r="E21" s="48" t="s">
        <v>42</v>
      </c>
      <c r="F21" s="47" t="s">
        <v>43</v>
      </c>
      <c r="G21" s="47"/>
      <c r="H21" s="48">
        <v>148</v>
      </c>
      <c r="I21" s="55">
        <f>500*95%</f>
        <v>475</v>
      </c>
      <c r="J21" s="55">
        <f t="shared" si="0"/>
        <v>14.25</v>
      </c>
      <c r="K21" s="55">
        <f t="shared" si="1"/>
        <v>489.25</v>
      </c>
      <c r="L21" s="48">
        <f t="shared" si="2"/>
        <v>72409</v>
      </c>
      <c r="M21" s="48" t="s">
        <v>44</v>
      </c>
      <c r="N21" s="47">
        <v>0</v>
      </c>
      <c r="O21" s="56" t="s">
        <v>30</v>
      </c>
      <c r="P21" s="14"/>
      <c r="Q21" s="9"/>
      <c r="R21" s="26"/>
      <c r="S21" s="27"/>
      <c r="T21" s="27">
        <f t="shared" si="3"/>
        <v>0</v>
      </c>
    </row>
    <row r="22" spans="4:20" ht="27">
      <c r="D22" s="49"/>
      <c r="E22" s="48" t="s">
        <v>45</v>
      </c>
      <c r="F22" s="47" t="s">
        <v>46</v>
      </c>
      <c r="G22" s="47"/>
      <c r="H22" s="48">
        <v>270</v>
      </c>
      <c r="I22" s="55">
        <f>50*95%</f>
        <v>47.5</v>
      </c>
      <c r="J22" s="55">
        <f t="shared" si="0"/>
        <v>1.425</v>
      </c>
      <c r="K22" s="55">
        <f t="shared" si="1"/>
        <v>48.925</v>
      </c>
      <c r="L22" s="48">
        <f t="shared" si="2"/>
        <v>13210</v>
      </c>
      <c r="M22" s="48" t="s">
        <v>47</v>
      </c>
      <c r="N22" s="47">
        <v>0</v>
      </c>
      <c r="O22" s="56" t="s">
        <v>30</v>
      </c>
      <c r="P22" s="14"/>
      <c r="Q22" s="9"/>
      <c r="R22" s="26"/>
      <c r="S22" s="27"/>
      <c r="T22" s="27">
        <f t="shared" si="3"/>
        <v>0</v>
      </c>
    </row>
    <row r="23" spans="4:20" ht="27">
      <c r="D23" s="49" t="s">
        <v>57</v>
      </c>
      <c r="E23" s="48" t="s">
        <v>27</v>
      </c>
      <c r="F23" s="47" t="s">
        <v>28</v>
      </c>
      <c r="G23" s="47"/>
      <c r="H23" s="48">
        <f>138187+30566</f>
        <v>168753</v>
      </c>
      <c r="I23" s="55">
        <f>('[1]400第二思路 (不含税)'!$H$71+'[1]400第二思路 (不含税)'!$H$26+'[1]400第二思路 (不含税)'!$H$28)/1000*95%</f>
        <v>0.494</v>
      </c>
      <c r="J23" s="55">
        <f t="shared" si="0"/>
        <v>0.01482</v>
      </c>
      <c r="K23" s="55">
        <f t="shared" si="1"/>
        <v>0.50882</v>
      </c>
      <c r="L23" s="48">
        <f t="shared" si="2"/>
        <v>85865</v>
      </c>
      <c r="M23" s="48" t="s">
        <v>29</v>
      </c>
      <c r="N23" s="49">
        <v>0</v>
      </c>
      <c r="O23" s="56" t="s">
        <v>30</v>
      </c>
      <c r="P23" s="14">
        <v>0.5</v>
      </c>
      <c r="Q23" s="9">
        <v>0.6</v>
      </c>
      <c r="R23" s="26">
        <v>0.54</v>
      </c>
      <c r="S23" s="27">
        <f>ROUND(P23*98.5%,2)</f>
        <v>0.49</v>
      </c>
      <c r="T23" s="27">
        <f t="shared" si="3"/>
        <v>82689</v>
      </c>
    </row>
    <row r="24" spans="4:20" ht="54">
      <c r="D24" s="49"/>
      <c r="E24" s="48" t="s">
        <v>31</v>
      </c>
      <c r="F24" s="47" t="s">
        <v>28</v>
      </c>
      <c r="G24" s="47"/>
      <c r="H24" s="48">
        <v>30315</v>
      </c>
      <c r="I24" s="55">
        <f>(1.26+0.16)*95%</f>
        <v>1.349</v>
      </c>
      <c r="J24" s="55">
        <f t="shared" si="0"/>
        <v>0.04047</v>
      </c>
      <c r="K24" s="55">
        <f t="shared" si="1"/>
        <v>1.38947</v>
      </c>
      <c r="L24" s="48">
        <f t="shared" si="2"/>
        <v>42122</v>
      </c>
      <c r="M24" s="56" t="s">
        <v>32</v>
      </c>
      <c r="N24" s="57">
        <v>0.01</v>
      </c>
      <c r="O24" s="56" t="s">
        <v>30</v>
      </c>
      <c r="P24" s="14">
        <v>1.5</v>
      </c>
      <c r="Q24" s="9">
        <v>1.2</v>
      </c>
      <c r="R24" s="26">
        <v>1.4</v>
      </c>
      <c r="S24" s="27">
        <f>ROUND(R24*98.5%,2)</f>
        <v>1.38</v>
      </c>
      <c r="T24" s="27">
        <f t="shared" si="3"/>
        <v>41835</v>
      </c>
    </row>
    <row r="25" spans="4:20" ht="108">
      <c r="D25" s="49"/>
      <c r="E25" s="48" t="s">
        <v>58</v>
      </c>
      <c r="F25" s="47" t="s">
        <v>34</v>
      </c>
      <c r="G25" s="49" t="s">
        <v>35</v>
      </c>
      <c r="H25" s="48">
        <v>796.7</v>
      </c>
      <c r="I25" s="55">
        <f>(('[1]400第二思路 (不含税)'!$H$488+'[1]400第二思路 (不含税)'!$H$491+'[1]400第二思路 (不含税)'!$H$490)/10+'[1]400第二思路 (不含税)'!$H$494/10+'[1]400第二思路 (不含税)'!$H$508/10)*95%</f>
        <v>385.7</v>
      </c>
      <c r="J25" s="55">
        <f t="shared" si="0"/>
        <v>11.571</v>
      </c>
      <c r="K25" s="55">
        <f t="shared" si="1"/>
        <v>397.271</v>
      </c>
      <c r="L25" s="48">
        <f t="shared" si="2"/>
        <v>316506</v>
      </c>
      <c r="M25" s="56" t="s">
        <v>36</v>
      </c>
      <c r="N25" s="49">
        <v>0</v>
      </c>
      <c r="O25" s="56" t="s">
        <v>30</v>
      </c>
      <c r="P25" s="14">
        <v>440</v>
      </c>
      <c r="Q25" s="9">
        <v>490</v>
      </c>
      <c r="R25" s="26">
        <v>440</v>
      </c>
      <c r="S25" s="27">
        <f>ROUND(K25,2)</f>
        <v>397.27</v>
      </c>
      <c r="T25" s="27">
        <f t="shared" si="3"/>
        <v>316505</v>
      </c>
    </row>
    <row r="26" spans="4:22" s="33" customFormat="1" ht="27">
      <c r="D26" s="49"/>
      <c r="E26" s="48" t="s">
        <v>37</v>
      </c>
      <c r="F26" s="47" t="s">
        <v>34</v>
      </c>
      <c r="G26" s="47" t="s">
        <v>38</v>
      </c>
      <c r="H26" s="48">
        <v>92.4</v>
      </c>
      <c r="I26" s="55">
        <f>700*95%</f>
        <v>665</v>
      </c>
      <c r="J26" s="55">
        <f t="shared" si="0"/>
        <v>19.95</v>
      </c>
      <c r="K26" s="55">
        <f t="shared" si="1"/>
        <v>684.95</v>
      </c>
      <c r="L26" s="48">
        <f t="shared" si="2"/>
        <v>63289</v>
      </c>
      <c r="M26" s="56" t="s">
        <v>51</v>
      </c>
      <c r="N26" s="49">
        <v>0</v>
      </c>
      <c r="O26" s="56" t="s">
        <v>30</v>
      </c>
      <c r="P26" s="14" t="s">
        <v>40</v>
      </c>
      <c r="Q26" s="28"/>
      <c r="R26" s="29" t="s">
        <v>41</v>
      </c>
      <c r="S26" s="27">
        <f>ROUND(K26,2)</f>
        <v>684.95</v>
      </c>
      <c r="T26" s="27">
        <f t="shared" si="3"/>
        <v>63289</v>
      </c>
      <c r="V26" s="60"/>
    </row>
    <row r="27" spans="4:20" s="34" customFormat="1" ht="27">
      <c r="D27" s="49"/>
      <c r="E27" s="48" t="s">
        <v>42</v>
      </c>
      <c r="F27" s="47" t="s">
        <v>43</v>
      </c>
      <c r="G27" s="47"/>
      <c r="H27" s="48">
        <v>32</v>
      </c>
      <c r="I27" s="55">
        <f>500*95%</f>
        <v>475</v>
      </c>
      <c r="J27" s="55">
        <f t="shared" si="0"/>
        <v>14.25</v>
      </c>
      <c r="K27" s="55">
        <f t="shared" si="1"/>
        <v>489.25</v>
      </c>
      <c r="L27" s="48">
        <f t="shared" si="2"/>
        <v>15656</v>
      </c>
      <c r="M27" s="48" t="s">
        <v>44</v>
      </c>
      <c r="N27" s="47">
        <v>0</v>
      </c>
      <c r="O27" s="56" t="s">
        <v>30</v>
      </c>
      <c r="P27" s="15"/>
      <c r="Q27" s="30"/>
      <c r="R27" s="31"/>
      <c r="S27" s="27" t="s">
        <v>53</v>
      </c>
      <c r="T27" s="27"/>
    </row>
    <row r="28" spans="4:20" s="34" customFormat="1" ht="27">
      <c r="D28" s="49"/>
      <c r="E28" s="48" t="s">
        <v>45</v>
      </c>
      <c r="F28" s="47" t="s">
        <v>46</v>
      </c>
      <c r="G28" s="47"/>
      <c r="H28" s="48">
        <v>30</v>
      </c>
      <c r="I28" s="55">
        <f>50*95%</f>
        <v>47.5</v>
      </c>
      <c r="J28" s="55">
        <f t="shared" si="0"/>
        <v>1.425</v>
      </c>
      <c r="K28" s="55">
        <f t="shared" si="1"/>
        <v>48.925</v>
      </c>
      <c r="L28" s="48">
        <f t="shared" si="2"/>
        <v>1468</v>
      </c>
      <c r="M28" s="48" t="s">
        <v>47</v>
      </c>
      <c r="N28" s="47">
        <v>0</v>
      </c>
      <c r="O28" s="56" t="s">
        <v>30</v>
      </c>
      <c r="P28" s="15"/>
      <c r="Q28" s="30"/>
      <c r="R28" s="31"/>
      <c r="S28" s="27" t="s">
        <v>53</v>
      </c>
      <c r="T28" s="27"/>
    </row>
    <row r="29" spans="4:20" ht="27">
      <c r="D29" s="49" t="s">
        <v>59</v>
      </c>
      <c r="E29" s="48" t="s">
        <v>27</v>
      </c>
      <c r="F29" s="47" t="s">
        <v>28</v>
      </c>
      <c r="G29" s="47"/>
      <c r="H29" s="48">
        <f>58810+13059</f>
        <v>71869</v>
      </c>
      <c r="I29" s="55">
        <f>('[1]400第二思路 (不含税)'!$H$71+'[1]400第二思路 (不含税)'!$H$26+'[1]400第二思路 (不含税)'!$H$28)/1000*95%</f>
        <v>0.494</v>
      </c>
      <c r="J29" s="55">
        <f t="shared" si="0"/>
        <v>0.01482</v>
      </c>
      <c r="K29" s="55">
        <f t="shared" si="1"/>
        <v>0.50882</v>
      </c>
      <c r="L29" s="48">
        <f t="shared" si="2"/>
        <v>36568</v>
      </c>
      <c r="M29" s="48" t="s">
        <v>29</v>
      </c>
      <c r="N29" s="49">
        <v>0</v>
      </c>
      <c r="O29" s="56" t="s">
        <v>30</v>
      </c>
      <c r="P29" s="14">
        <v>0.5</v>
      </c>
      <c r="Q29" s="9"/>
      <c r="R29" s="26"/>
      <c r="S29" s="27">
        <f>ROUND(P29*98.5%,2)</f>
        <v>0.49</v>
      </c>
      <c r="T29" s="27">
        <f t="shared" si="3"/>
        <v>35216</v>
      </c>
    </row>
    <row r="30" spans="4:20" ht="54">
      <c r="D30" s="49"/>
      <c r="E30" s="48" t="s">
        <v>31</v>
      </c>
      <c r="F30" s="47" t="s">
        <v>28</v>
      </c>
      <c r="G30" s="47"/>
      <c r="H30" s="48">
        <v>11984</v>
      </c>
      <c r="I30" s="55">
        <f>(1.26+0.16)*95%</f>
        <v>1.349</v>
      </c>
      <c r="J30" s="55">
        <f t="shared" si="0"/>
        <v>0.04047</v>
      </c>
      <c r="K30" s="55">
        <f t="shared" si="1"/>
        <v>1.38947</v>
      </c>
      <c r="L30" s="48">
        <f t="shared" si="2"/>
        <v>16651</v>
      </c>
      <c r="M30" s="56" t="s">
        <v>32</v>
      </c>
      <c r="N30" s="57">
        <v>0.01</v>
      </c>
      <c r="O30" s="56" t="s">
        <v>30</v>
      </c>
      <c r="P30" s="14">
        <v>1.5</v>
      </c>
      <c r="Q30" s="9"/>
      <c r="R30" s="26"/>
      <c r="S30" s="27">
        <f>S36</f>
        <v>1.38</v>
      </c>
      <c r="T30" s="27">
        <f t="shared" si="3"/>
        <v>16538</v>
      </c>
    </row>
    <row r="31" spans="4:20" ht="94.5">
      <c r="D31" s="49"/>
      <c r="E31" s="48" t="s">
        <v>33</v>
      </c>
      <c r="F31" s="47" t="s">
        <v>34</v>
      </c>
      <c r="G31" s="49" t="s">
        <v>35</v>
      </c>
      <c r="H31" s="48">
        <v>333</v>
      </c>
      <c r="I31" s="55">
        <f>(('[1]400第二思路 (不含税)'!$H$488+'[1]400第二思路 (不含税)'!$H$491+'[1]400第二思路 (不含税)'!$H$490)/10+'[1]400第二思路 (不含税)'!$H$494/10+'[1]400第二思路 (不含税)'!$H$508/10)*95%-40</f>
        <v>345.7</v>
      </c>
      <c r="J31" s="55">
        <f t="shared" si="0"/>
        <v>10.370999999999999</v>
      </c>
      <c r="K31" s="55">
        <f t="shared" si="1"/>
        <v>356.07099999999997</v>
      </c>
      <c r="L31" s="48">
        <f t="shared" si="2"/>
        <v>118572</v>
      </c>
      <c r="M31" s="56" t="s">
        <v>56</v>
      </c>
      <c r="N31" s="49">
        <v>0</v>
      </c>
      <c r="O31" s="56" t="s">
        <v>30</v>
      </c>
      <c r="P31" s="14">
        <v>440</v>
      </c>
      <c r="Q31" s="9"/>
      <c r="R31" s="26"/>
      <c r="S31" s="27">
        <f>ROUND(K31,2)</f>
        <v>356.07</v>
      </c>
      <c r="T31" s="27">
        <f t="shared" si="3"/>
        <v>118571</v>
      </c>
    </row>
    <row r="32" spans="4:22" s="33" customFormat="1" ht="27">
      <c r="D32" s="49"/>
      <c r="E32" s="48" t="s">
        <v>37</v>
      </c>
      <c r="F32" s="47" t="s">
        <v>34</v>
      </c>
      <c r="G32" s="47" t="s">
        <v>38</v>
      </c>
      <c r="H32" s="48">
        <v>42.3</v>
      </c>
      <c r="I32" s="55">
        <f>700*95%</f>
        <v>665</v>
      </c>
      <c r="J32" s="55">
        <f t="shared" si="0"/>
        <v>19.95</v>
      </c>
      <c r="K32" s="55">
        <f t="shared" si="1"/>
        <v>684.95</v>
      </c>
      <c r="L32" s="48">
        <f t="shared" si="2"/>
        <v>28973</v>
      </c>
      <c r="M32" s="56" t="s">
        <v>51</v>
      </c>
      <c r="N32" s="49">
        <v>0</v>
      </c>
      <c r="O32" s="56" t="s">
        <v>30</v>
      </c>
      <c r="P32" s="14" t="s">
        <v>40</v>
      </c>
      <c r="Q32" s="28"/>
      <c r="R32" s="29"/>
      <c r="S32" s="27">
        <f>ROUND(K32,2)</f>
        <v>684.95</v>
      </c>
      <c r="T32" s="27">
        <f t="shared" si="3"/>
        <v>28973</v>
      </c>
      <c r="V32" s="60"/>
    </row>
    <row r="33" spans="4:20" s="34" customFormat="1" ht="27">
      <c r="D33" s="49"/>
      <c r="E33" s="48" t="s">
        <v>42</v>
      </c>
      <c r="F33" s="47" t="s">
        <v>43</v>
      </c>
      <c r="G33" s="47"/>
      <c r="H33" s="48">
        <v>12</v>
      </c>
      <c r="I33" s="55">
        <f>500*95%</f>
        <v>475</v>
      </c>
      <c r="J33" s="55">
        <f t="shared" si="0"/>
        <v>14.25</v>
      </c>
      <c r="K33" s="55">
        <f t="shared" si="1"/>
        <v>489.25</v>
      </c>
      <c r="L33" s="48">
        <f t="shared" si="2"/>
        <v>5871</v>
      </c>
      <c r="M33" s="48" t="s">
        <v>44</v>
      </c>
      <c r="N33" s="47">
        <v>0</v>
      </c>
      <c r="O33" s="56" t="s">
        <v>30</v>
      </c>
      <c r="P33" s="15"/>
      <c r="Q33" s="30"/>
      <c r="R33" s="31"/>
      <c r="S33" s="27" t="s">
        <v>53</v>
      </c>
      <c r="T33" s="27"/>
    </row>
    <row r="34" spans="4:20" s="34" customFormat="1" ht="27">
      <c r="D34" s="49"/>
      <c r="E34" s="48" t="s">
        <v>45</v>
      </c>
      <c r="F34" s="47" t="s">
        <v>46</v>
      </c>
      <c r="G34" s="47"/>
      <c r="H34" s="48">
        <v>28</v>
      </c>
      <c r="I34" s="55">
        <f>50*95%</f>
        <v>47.5</v>
      </c>
      <c r="J34" s="55">
        <f t="shared" si="0"/>
        <v>1.425</v>
      </c>
      <c r="K34" s="55">
        <f t="shared" si="1"/>
        <v>48.925</v>
      </c>
      <c r="L34" s="48">
        <f t="shared" si="2"/>
        <v>1370</v>
      </c>
      <c r="M34" s="48" t="s">
        <v>47</v>
      </c>
      <c r="N34" s="47">
        <v>0</v>
      </c>
      <c r="O34" s="56" t="s">
        <v>30</v>
      </c>
      <c r="P34" s="15"/>
      <c r="Q34" s="30"/>
      <c r="R34" s="31"/>
      <c r="S34" s="27" t="s">
        <v>53</v>
      </c>
      <c r="T34" s="27"/>
    </row>
    <row r="35" spans="4:20" ht="27">
      <c r="D35" s="49" t="s">
        <v>60</v>
      </c>
      <c r="E35" s="48" t="s">
        <v>27</v>
      </c>
      <c r="F35" s="47" t="s">
        <v>28</v>
      </c>
      <c r="G35" s="47"/>
      <c r="H35" s="48">
        <f>253217+56805</f>
        <v>310022</v>
      </c>
      <c r="I35" s="55">
        <f>('[1]400第二思路 (不含税)'!$H$71+'[1]400第二思路 (不含税)'!$H$26+'[1]400第二思路 (不含税)'!$H$28)/1000*95%</f>
        <v>0.494</v>
      </c>
      <c r="J35" s="55">
        <f t="shared" si="0"/>
        <v>0.01482</v>
      </c>
      <c r="K35" s="55">
        <f t="shared" si="1"/>
        <v>0.50882</v>
      </c>
      <c r="L35" s="48">
        <f t="shared" si="2"/>
        <v>157745</v>
      </c>
      <c r="M35" s="48" t="s">
        <v>29</v>
      </c>
      <c r="N35" s="49">
        <v>0</v>
      </c>
      <c r="O35" s="56" t="s">
        <v>30</v>
      </c>
      <c r="P35" s="14">
        <v>0.5</v>
      </c>
      <c r="Q35" s="9">
        <v>0.6</v>
      </c>
      <c r="R35" s="26">
        <v>0.54</v>
      </c>
      <c r="S35" s="27">
        <f>ROUND(P35*98.5%,2)</f>
        <v>0.49</v>
      </c>
      <c r="T35" s="27">
        <f t="shared" si="3"/>
        <v>151911</v>
      </c>
    </row>
    <row r="36" spans="4:20" ht="54">
      <c r="D36" s="49"/>
      <c r="E36" s="48" t="s">
        <v>31</v>
      </c>
      <c r="F36" s="47" t="s">
        <v>28</v>
      </c>
      <c r="G36" s="47"/>
      <c r="H36" s="48">
        <v>51298</v>
      </c>
      <c r="I36" s="55">
        <f>(1.26+0.16)*95%</f>
        <v>1.349</v>
      </c>
      <c r="J36" s="55">
        <f t="shared" si="0"/>
        <v>0.04047</v>
      </c>
      <c r="K36" s="55">
        <f t="shared" si="1"/>
        <v>1.38947</v>
      </c>
      <c r="L36" s="48">
        <f t="shared" si="2"/>
        <v>71277</v>
      </c>
      <c r="M36" s="56" t="s">
        <v>32</v>
      </c>
      <c r="N36" s="57">
        <v>0.01</v>
      </c>
      <c r="O36" s="56" t="s">
        <v>30</v>
      </c>
      <c r="P36" s="14">
        <v>1.5</v>
      </c>
      <c r="Q36" s="9">
        <v>1.2</v>
      </c>
      <c r="R36" s="26">
        <v>1.4</v>
      </c>
      <c r="S36" s="27">
        <f>ROUND(R36*98.5%,2)</f>
        <v>1.38</v>
      </c>
      <c r="T36" s="27">
        <f t="shared" si="3"/>
        <v>70791</v>
      </c>
    </row>
    <row r="37" spans="4:20" ht="108">
      <c r="D37" s="49"/>
      <c r="E37" s="48" t="s">
        <v>33</v>
      </c>
      <c r="F37" s="47" t="s">
        <v>34</v>
      </c>
      <c r="G37" s="49" t="s">
        <v>35</v>
      </c>
      <c r="H37" s="48">
        <v>1442.9</v>
      </c>
      <c r="I37" s="55">
        <f>(('[1]400第二思路 (不含税)'!$H$488+'[1]400第二思路 (不含税)'!$H$491+'[1]400第二思路 (不含税)'!$H$490)/10+'[1]400第二思路 (不含税)'!$H$494/10+'[1]400第二思路 (不含税)'!$H$508/10)*95%</f>
        <v>385.7</v>
      </c>
      <c r="J37" s="55">
        <f t="shared" si="0"/>
        <v>11.571</v>
      </c>
      <c r="K37" s="55">
        <f t="shared" si="1"/>
        <v>397.271</v>
      </c>
      <c r="L37" s="48">
        <f t="shared" si="2"/>
        <v>573222</v>
      </c>
      <c r="M37" s="56" t="s">
        <v>36</v>
      </c>
      <c r="N37" s="49">
        <v>0</v>
      </c>
      <c r="O37" s="56" t="s">
        <v>30</v>
      </c>
      <c r="P37" s="14">
        <v>440</v>
      </c>
      <c r="Q37" s="9">
        <v>490</v>
      </c>
      <c r="R37" s="26">
        <v>440</v>
      </c>
      <c r="S37" s="27">
        <f>ROUND(K37,2)</f>
        <v>397.27</v>
      </c>
      <c r="T37" s="27">
        <f t="shared" si="3"/>
        <v>573221</v>
      </c>
    </row>
    <row r="38" spans="4:22" s="33" customFormat="1" ht="27">
      <c r="D38" s="49"/>
      <c r="E38" s="48" t="s">
        <v>37</v>
      </c>
      <c r="F38" s="47" t="s">
        <v>34</v>
      </c>
      <c r="G38" s="47" t="s">
        <v>38</v>
      </c>
      <c r="H38" s="48">
        <v>183.3</v>
      </c>
      <c r="I38" s="55">
        <f>700*95%</f>
        <v>665</v>
      </c>
      <c r="J38" s="55">
        <f t="shared" si="0"/>
        <v>19.95</v>
      </c>
      <c r="K38" s="55">
        <f t="shared" si="1"/>
        <v>684.95</v>
      </c>
      <c r="L38" s="48">
        <f t="shared" si="2"/>
        <v>125551</v>
      </c>
      <c r="M38" s="56" t="s">
        <v>51</v>
      </c>
      <c r="N38" s="49">
        <v>0</v>
      </c>
      <c r="O38" s="56" t="s">
        <v>30</v>
      </c>
      <c r="P38" s="14" t="s">
        <v>40</v>
      </c>
      <c r="Q38" s="28"/>
      <c r="R38" s="29" t="s">
        <v>41</v>
      </c>
      <c r="S38" s="27">
        <f>ROUND(K38,2)</f>
        <v>684.95</v>
      </c>
      <c r="T38" s="27">
        <f t="shared" si="3"/>
        <v>125551</v>
      </c>
      <c r="V38" s="60"/>
    </row>
    <row r="39" spans="4:20" s="34" customFormat="1" ht="27">
      <c r="D39" s="49"/>
      <c r="E39" s="48" t="s">
        <v>42</v>
      </c>
      <c r="F39" s="47" t="s">
        <v>43</v>
      </c>
      <c r="G39" s="47"/>
      <c r="H39" s="48">
        <v>52</v>
      </c>
      <c r="I39" s="55">
        <f>500*95%</f>
        <v>475</v>
      </c>
      <c r="J39" s="55">
        <f t="shared" si="0"/>
        <v>14.25</v>
      </c>
      <c r="K39" s="55">
        <f t="shared" si="1"/>
        <v>489.25</v>
      </c>
      <c r="L39" s="48">
        <f t="shared" si="2"/>
        <v>25441</v>
      </c>
      <c r="M39" s="48" t="s">
        <v>44</v>
      </c>
      <c r="N39" s="47">
        <v>0</v>
      </c>
      <c r="O39" s="56" t="s">
        <v>30</v>
      </c>
      <c r="P39" s="15"/>
      <c r="Q39" s="30"/>
      <c r="R39" s="31"/>
      <c r="S39" s="27" t="s">
        <v>53</v>
      </c>
      <c r="T39" s="27"/>
    </row>
    <row r="40" spans="4:20" s="34" customFormat="1" ht="27">
      <c r="D40" s="49"/>
      <c r="E40" s="48" t="s">
        <v>45</v>
      </c>
      <c r="F40" s="47" t="s">
        <v>46</v>
      </c>
      <c r="G40" s="47"/>
      <c r="H40" s="48">
        <v>60</v>
      </c>
      <c r="I40" s="55">
        <f>50*95%</f>
        <v>47.5</v>
      </c>
      <c r="J40" s="55">
        <f t="shared" si="0"/>
        <v>1.425</v>
      </c>
      <c r="K40" s="55">
        <f t="shared" si="1"/>
        <v>48.925</v>
      </c>
      <c r="L40" s="48">
        <f t="shared" si="2"/>
        <v>2936</v>
      </c>
      <c r="M40" s="48" t="s">
        <v>47</v>
      </c>
      <c r="N40" s="47">
        <v>0</v>
      </c>
      <c r="O40" s="56" t="s">
        <v>30</v>
      </c>
      <c r="P40" s="15"/>
      <c r="Q40" s="30"/>
      <c r="R40" s="31"/>
      <c r="S40" s="27" t="s">
        <v>53</v>
      </c>
      <c r="T40" s="27"/>
    </row>
    <row r="41" spans="4:20" ht="27">
      <c r="D41" s="49" t="s">
        <v>61</v>
      </c>
      <c r="E41" s="48" t="s">
        <v>27</v>
      </c>
      <c r="F41" s="47" t="s">
        <v>28</v>
      </c>
      <c r="G41" s="47"/>
      <c r="H41" s="48">
        <f>357347+80445</f>
        <v>437792</v>
      </c>
      <c r="I41" s="55">
        <f>('[1]400第二思路 (不含税)'!$H$71+'[1]400第二思路 (不含税)'!$H$26+'[1]400第二思路 (不含税)'!$H$28)/1000*95%</f>
        <v>0.494</v>
      </c>
      <c r="J41" s="55">
        <f t="shared" si="0"/>
        <v>0.01482</v>
      </c>
      <c r="K41" s="55">
        <f t="shared" si="1"/>
        <v>0.50882</v>
      </c>
      <c r="L41" s="48">
        <f t="shared" si="2"/>
        <v>222757</v>
      </c>
      <c r="M41" s="48" t="s">
        <v>29</v>
      </c>
      <c r="N41" s="49">
        <v>0</v>
      </c>
      <c r="O41" s="56" t="s">
        <v>30</v>
      </c>
      <c r="P41" s="14">
        <v>0.5</v>
      </c>
      <c r="Q41" s="9">
        <v>0.6</v>
      </c>
      <c r="R41" s="26">
        <v>0.54</v>
      </c>
      <c r="S41" s="27">
        <f>ROUND(P41*98.5%,2)</f>
        <v>0.49</v>
      </c>
      <c r="T41" s="27">
        <f aca="true" t="shared" si="4" ref="T40:T66">ROUND(S41*H41,0)</f>
        <v>214518</v>
      </c>
    </row>
    <row r="42" spans="4:20" ht="54">
      <c r="D42" s="49"/>
      <c r="E42" s="48" t="s">
        <v>31</v>
      </c>
      <c r="F42" s="47" t="s">
        <v>28</v>
      </c>
      <c r="G42" s="47"/>
      <c r="H42" s="48">
        <v>73286</v>
      </c>
      <c r="I42" s="55">
        <f>(1.26+0.16)*95%</f>
        <v>1.349</v>
      </c>
      <c r="J42" s="55">
        <f t="shared" si="0"/>
        <v>0.04047</v>
      </c>
      <c r="K42" s="55">
        <f t="shared" si="1"/>
        <v>1.38947</v>
      </c>
      <c r="L42" s="48">
        <f t="shared" si="2"/>
        <v>101829</v>
      </c>
      <c r="M42" s="56" t="s">
        <v>32</v>
      </c>
      <c r="N42" s="57">
        <v>0.01</v>
      </c>
      <c r="O42" s="56" t="s">
        <v>30</v>
      </c>
      <c r="P42" s="14">
        <v>1.5</v>
      </c>
      <c r="Q42" s="9">
        <v>1.2</v>
      </c>
      <c r="R42" s="26">
        <v>1.4</v>
      </c>
      <c r="S42" s="27">
        <f>ROUND(R42*98.5%,2)</f>
        <v>1.38</v>
      </c>
      <c r="T42" s="27">
        <f t="shared" si="4"/>
        <v>101135</v>
      </c>
    </row>
    <row r="43" spans="4:20" ht="108">
      <c r="D43" s="49"/>
      <c r="E43" s="48" t="s">
        <v>33</v>
      </c>
      <c r="F43" s="47" t="s">
        <v>34</v>
      </c>
      <c r="G43" s="49" t="s">
        <v>35</v>
      </c>
      <c r="H43" s="48">
        <v>2042</v>
      </c>
      <c r="I43" s="55">
        <f>(('[1]400第二思路 (不含税)'!$H$488+'[1]400第二思路 (不含税)'!$H$491+'[1]400第二思路 (不含税)'!$H$490)/10+'[1]400第二思路 (不含税)'!$H$494/10+'[1]400第二思路 (不含税)'!$H$508/10)*95%</f>
        <v>385.7</v>
      </c>
      <c r="J43" s="55">
        <f t="shared" si="0"/>
        <v>11.571</v>
      </c>
      <c r="K43" s="55">
        <f t="shared" si="1"/>
        <v>397.271</v>
      </c>
      <c r="L43" s="48">
        <f t="shared" si="2"/>
        <v>811227</v>
      </c>
      <c r="M43" s="56" t="s">
        <v>36</v>
      </c>
      <c r="N43" s="49">
        <v>0</v>
      </c>
      <c r="O43" s="56" t="s">
        <v>30</v>
      </c>
      <c r="P43" s="14">
        <v>440</v>
      </c>
      <c r="Q43" s="9">
        <v>490</v>
      </c>
      <c r="R43" s="26">
        <v>440</v>
      </c>
      <c r="S43" s="27">
        <f>ROUND(K43,2)</f>
        <v>397.27</v>
      </c>
      <c r="T43" s="27">
        <f t="shared" si="4"/>
        <v>811225</v>
      </c>
    </row>
    <row r="44" spans="4:22" s="33" customFormat="1" ht="27">
      <c r="D44" s="49"/>
      <c r="E44" s="48" t="s">
        <v>37</v>
      </c>
      <c r="F44" s="47" t="s">
        <v>34</v>
      </c>
      <c r="G44" s="47" t="s">
        <v>38</v>
      </c>
      <c r="H44" s="48">
        <v>264.3</v>
      </c>
      <c r="I44" s="55">
        <f>700*95%</f>
        <v>665</v>
      </c>
      <c r="J44" s="55">
        <f t="shared" si="0"/>
        <v>19.95</v>
      </c>
      <c r="K44" s="55">
        <f t="shared" si="1"/>
        <v>684.95</v>
      </c>
      <c r="L44" s="48">
        <f t="shared" si="2"/>
        <v>181032</v>
      </c>
      <c r="M44" s="56" t="s">
        <v>51</v>
      </c>
      <c r="N44" s="49">
        <v>0</v>
      </c>
      <c r="O44" s="56" t="s">
        <v>30</v>
      </c>
      <c r="P44" s="14" t="s">
        <v>40</v>
      </c>
      <c r="Q44" s="28"/>
      <c r="R44" s="29" t="s">
        <v>41</v>
      </c>
      <c r="S44" s="27">
        <f>ROUND(K44,2)</f>
        <v>684.95</v>
      </c>
      <c r="T44" s="27">
        <f t="shared" si="4"/>
        <v>181032</v>
      </c>
      <c r="V44" s="60"/>
    </row>
    <row r="45" spans="4:20" s="34" customFormat="1" ht="27">
      <c r="D45" s="49"/>
      <c r="E45" s="48" t="s">
        <v>42</v>
      </c>
      <c r="F45" s="47" t="s">
        <v>43</v>
      </c>
      <c r="G45" s="47"/>
      <c r="H45" s="48">
        <v>68</v>
      </c>
      <c r="I45" s="55">
        <f>500*95%</f>
        <v>475</v>
      </c>
      <c r="J45" s="55">
        <f t="shared" si="0"/>
        <v>14.25</v>
      </c>
      <c r="K45" s="55">
        <f t="shared" si="1"/>
        <v>489.25</v>
      </c>
      <c r="L45" s="48">
        <f t="shared" si="2"/>
        <v>33269</v>
      </c>
      <c r="M45" s="48" t="s">
        <v>44</v>
      </c>
      <c r="N45" s="47">
        <v>0</v>
      </c>
      <c r="O45" s="56" t="s">
        <v>30</v>
      </c>
      <c r="P45" s="15"/>
      <c r="Q45" s="30"/>
      <c r="R45" s="31"/>
      <c r="S45" s="27" t="s">
        <v>53</v>
      </c>
      <c r="T45" s="27"/>
    </row>
    <row r="46" spans="4:20" s="34" customFormat="1" ht="27">
      <c r="D46" s="49"/>
      <c r="E46" s="48" t="s">
        <v>45</v>
      </c>
      <c r="F46" s="47" t="s">
        <v>46</v>
      </c>
      <c r="G46" s="47"/>
      <c r="H46" s="48">
        <v>54</v>
      </c>
      <c r="I46" s="55">
        <f>50*95%</f>
        <v>47.5</v>
      </c>
      <c r="J46" s="55">
        <f t="shared" si="0"/>
        <v>1.425</v>
      </c>
      <c r="K46" s="55">
        <f t="shared" si="1"/>
        <v>48.925</v>
      </c>
      <c r="L46" s="48">
        <f t="shared" si="2"/>
        <v>2642</v>
      </c>
      <c r="M46" s="48" t="s">
        <v>47</v>
      </c>
      <c r="N46" s="47">
        <v>0</v>
      </c>
      <c r="O46" s="56" t="s">
        <v>30</v>
      </c>
      <c r="P46" s="15"/>
      <c r="Q46" s="30"/>
      <c r="R46" s="31"/>
      <c r="S46" s="27" t="s">
        <v>53</v>
      </c>
      <c r="T46" s="27"/>
    </row>
    <row r="47" spans="4:20" ht="27">
      <c r="D47" s="49" t="s">
        <v>62</v>
      </c>
      <c r="E47" s="48" t="s">
        <v>27</v>
      </c>
      <c r="F47" s="47" t="s">
        <v>28</v>
      </c>
      <c r="G47" s="47"/>
      <c r="H47" s="48">
        <f>137086+30726</f>
        <v>167812</v>
      </c>
      <c r="I47" s="55">
        <f>('[1]400第二思路 (不含税)'!$H$71+'[1]400第二思路 (不含税)'!$H$26+'[1]400第二思路 (不含税)'!$H$28)/1000*95%</f>
        <v>0.494</v>
      </c>
      <c r="J47" s="55">
        <f t="shared" si="0"/>
        <v>0.01482</v>
      </c>
      <c r="K47" s="55">
        <f t="shared" si="1"/>
        <v>0.50882</v>
      </c>
      <c r="L47" s="48">
        <f t="shared" si="2"/>
        <v>85386</v>
      </c>
      <c r="M47" s="48" t="s">
        <v>29</v>
      </c>
      <c r="N47" s="49">
        <v>0</v>
      </c>
      <c r="O47" s="56" t="s">
        <v>30</v>
      </c>
      <c r="P47" s="14">
        <v>0.5</v>
      </c>
      <c r="Q47" s="9"/>
      <c r="R47" s="26"/>
      <c r="S47" s="27">
        <f>ROUND(P47*98.5%,2)</f>
        <v>0.49</v>
      </c>
      <c r="T47" s="27">
        <f t="shared" si="4"/>
        <v>82228</v>
      </c>
    </row>
    <row r="48" spans="4:20" ht="54">
      <c r="D48" s="49"/>
      <c r="E48" s="48" t="s">
        <v>31</v>
      </c>
      <c r="F48" s="47" t="s">
        <v>28</v>
      </c>
      <c r="G48" s="47"/>
      <c r="H48" s="48">
        <v>27996</v>
      </c>
      <c r="I48" s="55">
        <f>(1.26+0.16)*95%</f>
        <v>1.349</v>
      </c>
      <c r="J48" s="55">
        <f t="shared" si="0"/>
        <v>0.04047</v>
      </c>
      <c r="K48" s="55">
        <f t="shared" si="1"/>
        <v>1.38947</v>
      </c>
      <c r="L48" s="48">
        <f t="shared" si="2"/>
        <v>38900</v>
      </c>
      <c r="M48" s="56" t="s">
        <v>32</v>
      </c>
      <c r="N48" s="57">
        <v>0.01</v>
      </c>
      <c r="O48" s="56" t="s">
        <v>30</v>
      </c>
      <c r="P48" s="14">
        <v>1.5</v>
      </c>
      <c r="Q48" s="9"/>
      <c r="R48" s="26">
        <v>1.4</v>
      </c>
      <c r="S48" s="27">
        <f>ROUND(R48*98.5%,2)</f>
        <v>1.38</v>
      </c>
      <c r="T48" s="27">
        <f t="shared" si="4"/>
        <v>38634</v>
      </c>
    </row>
    <row r="49" spans="4:20" ht="108">
      <c r="D49" s="49"/>
      <c r="E49" s="48" t="s">
        <v>33</v>
      </c>
      <c r="F49" s="47" t="s">
        <v>34</v>
      </c>
      <c r="G49" s="49" t="s">
        <v>35</v>
      </c>
      <c r="H49" s="48">
        <v>776.9</v>
      </c>
      <c r="I49" s="55">
        <f>(('[1]400第二思路 (不含税)'!$H$488+'[1]400第二思路 (不含税)'!$H$491+'[1]400第二思路 (不含税)'!$H$490)/10+'[1]400第二思路 (不含税)'!$H$494/10+'[1]400第二思路 (不含税)'!$H$508/10)*95%-40</f>
        <v>345.7</v>
      </c>
      <c r="J49" s="55">
        <f t="shared" si="0"/>
        <v>10.370999999999999</v>
      </c>
      <c r="K49" s="55">
        <f t="shared" si="1"/>
        <v>356.07099999999997</v>
      </c>
      <c r="L49" s="48">
        <f t="shared" si="2"/>
        <v>276632</v>
      </c>
      <c r="M49" s="56" t="s">
        <v>36</v>
      </c>
      <c r="N49" s="49">
        <v>0</v>
      </c>
      <c r="O49" s="56" t="s">
        <v>30</v>
      </c>
      <c r="P49" s="14">
        <v>440</v>
      </c>
      <c r="Q49" s="9"/>
      <c r="R49" s="26">
        <v>440</v>
      </c>
      <c r="S49" s="27">
        <f>ROUND(K49,2)</f>
        <v>356.07</v>
      </c>
      <c r="T49" s="27">
        <f t="shared" si="4"/>
        <v>276631</v>
      </c>
    </row>
    <row r="50" spans="4:22" s="33" customFormat="1" ht="27">
      <c r="D50" s="49"/>
      <c r="E50" s="48" t="s">
        <v>37</v>
      </c>
      <c r="F50" s="47" t="s">
        <v>34</v>
      </c>
      <c r="G50" s="47" t="s">
        <v>38</v>
      </c>
      <c r="H50" s="48">
        <v>98.7</v>
      </c>
      <c r="I50" s="55">
        <f>700*95%</f>
        <v>665</v>
      </c>
      <c r="J50" s="55">
        <f t="shared" si="0"/>
        <v>19.95</v>
      </c>
      <c r="K50" s="55">
        <f t="shared" si="1"/>
        <v>684.95</v>
      </c>
      <c r="L50" s="48">
        <f t="shared" si="2"/>
        <v>67605</v>
      </c>
      <c r="M50" s="56" t="s">
        <v>51</v>
      </c>
      <c r="N50" s="49">
        <v>0</v>
      </c>
      <c r="O50" s="56" t="s">
        <v>30</v>
      </c>
      <c r="P50" s="14" t="s">
        <v>40</v>
      </c>
      <c r="Q50" s="28"/>
      <c r="R50" s="29" t="s">
        <v>41</v>
      </c>
      <c r="S50" s="27">
        <f>ROUND(K50,2)</f>
        <v>684.95</v>
      </c>
      <c r="T50" s="27">
        <f t="shared" si="4"/>
        <v>67605</v>
      </c>
      <c r="V50" s="60"/>
    </row>
    <row r="51" spans="4:20" s="34" customFormat="1" ht="27">
      <c r="D51" s="49"/>
      <c r="E51" s="48" t="s">
        <v>42</v>
      </c>
      <c r="F51" s="47" t="s">
        <v>43</v>
      </c>
      <c r="G51" s="47"/>
      <c r="H51" s="48">
        <v>28</v>
      </c>
      <c r="I51" s="55">
        <f>500*95%</f>
        <v>475</v>
      </c>
      <c r="J51" s="55">
        <f t="shared" si="0"/>
        <v>14.25</v>
      </c>
      <c r="K51" s="55">
        <f t="shared" si="1"/>
        <v>489.25</v>
      </c>
      <c r="L51" s="48">
        <f t="shared" si="2"/>
        <v>13699</v>
      </c>
      <c r="M51" s="48" t="s">
        <v>44</v>
      </c>
      <c r="N51" s="47">
        <v>0</v>
      </c>
      <c r="O51" s="56" t="s">
        <v>30</v>
      </c>
      <c r="P51" s="15"/>
      <c r="Q51" s="30"/>
      <c r="R51" s="31"/>
      <c r="S51" s="27" t="s">
        <v>53</v>
      </c>
      <c r="T51" s="27"/>
    </row>
    <row r="52" spans="4:20" s="34" customFormat="1" ht="27">
      <c r="D52" s="49"/>
      <c r="E52" s="48" t="s">
        <v>45</v>
      </c>
      <c r="F52" s="47" t="s">
        <v>46</v>
      </c>
      <c r="G52" s="47"/>
      <c r="H52" s="48">
        <v>30</v>
      </c>
      <c r="I52" s="55">
        <f>50*95%</f>
        <v>47.5</v>
      </c>
      <c r="J52" s="55">
        <f t="shared" si="0"/>
        <v>1.425</v>
      </c>
      <c r="K52" s="55">
        <f t="shared" si="1"/>
        <v>48.925</v>
      </c>
      <c r="L52" s="48">
        <f t="shared" si="2"/>
        <v>1468</v>
      </c>
      <c r="M52" s="48" t="s">
        <v>47</v>
      </c>
      <c r="N52" s="47">
        <v>0</v>
      </c>
      <c r="O52" s="56" t="s">
        <v>30</v>
      </c>
      <c r="P52" s="15"/>
      <c r="Q52" s="30"/>
      <c r="R52" s="31"/>
      <c r="S52" s="27" t="s">
        <v>53</v>
      </c>
      <c r="T52" s="27"/>
    </row>
    <row r="53" spans="4:20" ht="27">
      <c r="D53" s="49" t="s">
        <v>63</v>
      </c>
      <c r="E53" s="48" t="s">
        <v>27</v>
      </c>
      <c r="F53" s="47" t="s">
        <v>28</v>
      </c>
      <c r="G53" s="47"/>
      <c r="H53" s="48">
        <f>78506+17531</f>
        <v>96037</v>
      </c>
      <c r="I53" s="55">
        <f>('[1]400第二思路 (不含税)'!$H$71+'[1]400第二思路 (不含税)'!$H$26+'[1]400第二思路 (不含税)'!$H$28)/1000*95%</f>
        <v>0.494</v>
      </c>
      <c r="J53" s="55">
        <f t="shared" si="0"/>
        <v>0.01482</v>
      </c>
      <c r="K53" s="55">
        <f t="shared" si="1"/>
        <v>0.50882</v>
      </c>
      <c r="L53" s="48">
        <f t="shared" si="2"/>
        <v>48866</v>
      </c>
      <c r="M53" s="48" t="s">
        <v>29</v>
      </c>
      <c r="N53" s="49">
        <v>0</v>
      </c>
      <c r="O53" s="56" t="s">
        <v>30</v>
      </c>
      <c r="P53" s="14">
        <v>0.5</v>
      </c>
      <c r="Q53" s="9">
        <v>0.6</v>
      </c>
      <c r="R53" s="26">
        <v>0.54</v>
      </c>
      <c r="S53" s="27">
        <f>ROUND(P53*98.5%,2)</f>
        <v>0.49</v>
      </c>
      <c r="T53" s="27">
        <f t="shared" si="4"/>
        <v>47058</v>
      </c>
    </row>
    <row r="54" spans="4:20" ht="54">
      <c r="D54" s="49"/>
      <c r="E54" s="48" t="s">
        <v>31</v>
      </c>
      <c r="F54" s="47" t="s">
        <v>28</v>
      </c>
      <c r="G54" s="47"/>
      <c r="H54" s="48">
        <v>16008</v>
      </c>
      <c r="I54" s="55">
        <f>(1.26+0.16)*95%</f>
        <v>1.349</v>
      </c>
      <c r="J54" s="55">
        <f t="shared" si="0"/>
        <v>0.04047</v>
      </c>
      <c r="K54" s="55">
        <f t="shared" si="1"/>
        <v>1.38947</v>
      </c>
      <c r="L54" s="48">
        <f t="shared" si="2"/>
        <v>22243</v>
      </c>
      <c r="M54" s="56" t="s">
        <v>32</v>
      </c>
      <c r="N54" s="57">
        <v>0.01</v>
      </c>
      <c r="O54" s="56" t="s">
        <v>30</v>
      </c>
      <c r="P54" s="14">
        <v>1.5</v>
      </c>
      <c r="Q54" s="9">
        <v>1.2</v>
      </c>
      <c r="R54" s="26">
        <v>1.4</v>
      </c>
      <c r="S54" s="27">
        <f>ROUND(R54*98.5%,2)</f>
        <v>1.38</v>
      </c>
      <c r="T54" s="27">
        <f t="shared" si="4"/>
        <v>22091</v>
      </c>
    </row>
    <row r="55" spans="4:20" ht="94.5">
      <c r="D55" s="49"/>
      <c r="E55" s="48" t="s">
        <v>33</v>
      </c>
      <c r="F55" s="47" t="s">
        <v>34</v>
      </c>
      <c r="G55" s="49" t="s">
        <v>35</v>
      </c>
      <c r="H55" s="48">
        <v>444</v>
      </c>
      <c r="I55" s="55">
        <f>(('[1]400第二思路 (不含税)'!$H$488+'[1]400第二思路 (不含税)'!$H$491+'[1]400第二思路 (不含税)'!$H$490)/10+'[1]400第二思路 (不含税)'!$H$494/10+'[1]400第二思路 (不含税)'!$H$508/10)*95%-40</f>
        <v>345.7</v>
      </c>
      <c r="J55" s="55">
        <f t="shared" si="0"/>
        <v>10.370999999999999</v>
      </c>
      <c r="K55" s="55">
        <f t="shared" si="1"/>
        <v>356.07099999999997</v>
      </c>
      <c r="L55" s="48">
        <f t="shared" si="2"/>
        <v>158096</v>
      </c>
      <c r="M55" s="56" t="s">
        <v>56</v>
      </c>
      <c r="N55" s="49">
        <v>0</v>
      </c>
      <c r="O55" s="56" t="s">
        <v>30</v>
      </c>
      <c r="P55" s="14">
        <v>440</v>
      </c>
      <c r="Q55" s="9">
        <v>490</v>
      </c>
      <c r="R55" s="26">
        <v>440</v>
      </c>
      <c r="S55" s="27">
        <f>ROUND(K55,2)</f>
        <v>356.07</v>
      </c>
      <c r="T55" s="27">
        <f t="shared" si="4"/>
        <v>158095</v>
      </c>
    </row>
    <row r="56" spans="4:22" s="33" customFormat="1" ht="27">
      <c r="D56" s="49"/>
      <c r="E56" s="48" t="s">
        <v>37</v>
      </c>
      <c r="F56" s="47" t="s">
        <v>34</v>
      </c>
      <c r="G56" s="47" t="s">
        <v>38</v>
      </c>
      <c r="H56" s="48">
        <v>56.4</v>
      </c>
      <c r="I56" s="55">
        <f>700*95%</f>
        <v>665</v>
      </c>
      <c r="J56" s="55">
        <f t="shared" si="0"/>
        <v>19.95</v>
      </c>
      <c r="K56" s="55">
        <f t="shared" si="1"/>
        <v>684.95</v>
      </c>
      <c r="L56" s="48">
        <f t="shared" si="2"/>
        <v>38631</v>
      </c>
      <c r="M56" s="56" t="s">
        <v>51</v>
      </c>
      <c r="N56" s="49">
        <v>0</v>
      </c>
      <c r="O56" s="56" t="s">
        <v>30</v>
      </c>
      <c r="P56" s="14" t="s">
        <v>40</v>
      </c>
      <c r="Q56" s="28"/>
      <c r="R56" s="29" t="s">
        <v>41</v>
      </c>
      <c r="S56" s="27">
        <f>ROUND(K56,2)</f>
        <v>684.95</v>
      </c>
      <c r="T56" s="27">
        <f t="shared" si="4"/>
        <v>38631</v>
      </c>
      <c r="V56" s="60"/>
    </row>
    <row r="57" spans="4:20" s="34" customFormat="1" ht="27">
      <c r="D57" s="49"/>
      <c r="E57" s="48" t="s">
        <v>42</v>
      </c>
      <c r="F57" s="47" t="s">
        <v>43</v>
      </c>
      <c r="G57" s="47"/>
      <c r="H57" s="48">
        <v>16</v>
      </c>
      <c r="I57" s="55">
        <f>500*95%</f>
        <v>475</v>
      </c>
      <c r="J57" s="55">
        <f t="shared" si="0"/>
        <v>14.25</v>
      </c>
      <c r="K57" s="55">
        <f t="shared" si="1"/>
        <v>489.25</v>
      </c>
      <c r="L57" s="48">
        <f t="shared" si="2"/>
        <v>7828</v>
      </c>
      <c r="M57" s="48" t="s">
        <v>44</v>
      </c>
      <c r="N57" s="47">
        <v>0</v>
      </c>
      <c r="O57" s="56" t="s">
        <v>30</v>
      </c>
      <c r="P57" s="15"/>
      <c r="Q57" s="30"/>
      <c r="R57" s="31"/>
      <c r="S57" s="27" t="s">
        <v>53</v>
      </c>
      <c r="T57" s="27"/>
    </row>
    <row r="58" spans="4:20" s="34" customFormat="1" ht="27">
      <c r="D58" s="49"/>
      <c r="E58" s="48" t="s">
        <v>45</v>
      </c>
      <c r="F58" s="47" t="s">
        <v>46</v>
      </c>
      <c r="G58" s="47"/>
      <c r="H58" s="48">
        <v>30</v>
      </c>
      <c r="I58" s="55">
        <f>50*95%</f>
        <v>47.5</v>
      </c>
      <c r="J58" s="55">
        <f t="shared" si="0"/>
        <v>1.425</v>
      </c>
      <c r="K58" s="55">
        <f t="shared" si="1"/>
        <v>48.925</v>
      </c>
      <c r="L58" s="48">
        <f t="shared" si="2"/>
        <v>1468</v>
      </c>
      <c r="M58" s="48" t="s">
        <v>47</v>
      </c>
      <c r="N58" s="47">
        <v>0</v>
      </c>
      <c r="O58" s="56" t="s">
        <v>30</v>
      </c>
      <c r="P58" s="15"/>
      <c r="Q58" s="30"/>
      <c r="R58" s="31"/>
      <c r="S58" s="27" t="s">
        <v>53</v>
      </c>
      <c r="T58" s="27"/>
    </row>
    <row r="59" spans="4:20" ht="27">
      <c r="D59" s="49" t="s">
        <v>64</v>
      </c>
      <c r="E59" s="48" t="s">
        <v>27</v>
      </c>
      <c r="F59" s="47" t="s">
        <v>28</v>
      </c>
      <c r="G59" s="47"/>
      <c r="H59" s="48">
        <f>78597+17561</f>
        <v>96158</v>
      </c>
      <c r="I59" s="55">
        <f>('[1]400第二思路 (不含税)'!$H$71+'[1]400第二思路 (不含税)'!$H$26+'[1]400第二思路 (不含税)'!$H$28)/1000*95%</f>
        <v>0.494</v>
      </c>
      <c r="J59" s="55">
        <f t="shared" si="0"/>
        <v>0.01482</v>
      </c>
      <c r="K59" s="55">
        <f t="shared" si="1"/>
        <v>0.50882</v>
      </c>
      <c r="L59" s="48">
        <f t="shared" si="2"/>
        <v>48927</v>
      </c>
      <c r="M59" s="48" t="s">
        <v>29</v>
      </c>
      <c r="N59" s="49">
        <v>0</v>
      </c>
      <c r="O59" s="56" t="s">
        <v>30</v>
      </c>
      <c r="P59" s="14">
        <v>0.5</v>
      </c>
      <c r="Q59" s="9">
        <v>0.6</v>
      </c>
      <c r="R59" s="26">
        <v>0.54</v>
      </c>
      <c r="S59" s="27">
        <f>ROUND(P59*98.5%,2)</f>
        <v>0.49</v>
      </c>
      <c r="T59" s="27">
        <f t="shared" si="4"/>
        <v>47117</v>
      </c>
    </row>
    <row r="60" spans="4:20" ht="54">
      <c r="D60" s="49"/>
      <c r="E60" s="48" t="s">
        <v>31</v>
      </c>
      <c r="F60" s="47" t="s">
        <v>28</v>
      </c>
      <c r="G60" s="47"/>
      <c r="H60" s="48">
        <v>15999</v>
      </c>
      <c r="I60" s="55">
        <f>(1.26+0.16)*95%</f>
        <v>1.349</v>
      </c>
      <c r="J60" s="55">
        <f t="shared" si="0"/>
        <v>0.04047</v>
      </c>
      <c r="K60" s="55">
        <f t="shared" si="1"/>
        <v>1.38947</v>
      </c>
      <c r="L60" s="48">
        <f t="shared" si="2"/>
        <v>22230</v>
      </c>
      <c r="M60" s="56" t="s">
        <v>32</v>
      </c>
      <c r="N60" s="57">
        <v>0.01</v>
      </c>
      <c r="O60" s="56" t="s">
        <v>30</v>
      </c>
      <c r="P60" s="14">
        <v>1.5</v>
      </c>
      <c r="Q60" s="9">
        <v>1.2</v>
      </c>
      <c r="R60" s="26">
        <v>1.4</v>
      </c>
      <c r="S60" s="27">
        <f>ROUND(R60*98.5%,2)</f>
        <v>1.38</v>
      </c>
      <c r="T60" s="27">
        <f t="shared" si="4"/>
        <v>22079</v>
      </c>
    </row>
    <row r="61" spans="4:20" ht="108">
      <c r="D61" s="49"/>
      <c r="E61" s="48" t="s">
        <v>33</v>
      </c>
      <c r="F61" s="47" t="s">
        <v>34</v>
      </c>
      <c r="G61" s="49" t="s">
        <v>35</v>
      </c>
      <c r="H61" s="48">
        <v>444</v>
      </c>
      <c r="I61" s="55">
        <f>(('[1]400第二思路 (不含税)'!$H$488+'[1]400第二思路 (不含税)'!$H$491+'[1]400第二思路 (不含税)'!$H$490)/10+'[1]400第二思路 (不含税)'!$H$494/10+'[1]400第二思路 (不含税)'!$H$508/10)*95%-40</f>
        <v>345.7</v>
      </c>
      <c r="J61" s="55">
        <f t="shared" si="0"/>
        <v>10.370999999999999</v>
      </c>
      <c r="K61" s="55">
        <f t="shared" si="1"/>
        <v>356.07099999999997</v>
      </c>
      <c r="L61" s="48">
        <f t="shared" si="2"/>
        <v>158096</v>
      </c>
      <c r="M61" s="56" t="s">
        <v>36</v>
      </c>
      <c r="N61" s="49">
        <v>0</v>
      </c>
      <c r="O61" s="56" t="s">
        <v>30</v>
      </c>
      <c r="P61" s="14">
        <v>440</v>
      </c>
      <c r="Q61" s="9">
        <v>490</v>
      </c>
      <c r="R61" s="26">
        <v>440</v>
      </c>
      <c r="S61" s="27">
        <f aca="true" t="shared" si="5" ref="S61:S66">ROUND(K61,2)</f>
        <v>356.07</v>
      </c>
      <c r="T61" s="27">
        <f t="shared" si="4"/>
        <v>158095</v>
      </c>
    </row>
    <row r="62" spans="4:22" s="33" customFormat="1" ht="27">
      <c r="D62" s="49"/>
      <c r="E62" s="48" t="s">
        <v>37</v>
      </c>
      <c r="F62" s="47" t="s">
        <v>34</v>
      </c>
      <c r="G62" s="47" t="s">
        <v>38</v>
      </c>
      <c r="H62" s="48">
        <v>56.4</v>
      </c>
      <c r="I62" s="55">
        <f>700*95%</f>
        <v>665</v>
      </c>
      <c r="J62" s="55">
        <f t="shared" si="0"/>
        <v>19.95</v>
      </c>
      <c r="K62" s="55">
        <f t="shared" si="1"/>
        <v>684.95</v>
      </c>
      <c r="L62" s="48">
        <f t="shared" si="2"/>
        <v>38631</v>
      </c>
      <c r="M62" s="56" t="s">
        <v>51</v>
      </c>
      <c r="N62" s="49">
        <v>0</v>
      </c>
      <c r="O62" s="56" t="s">
        <v>30</v>
      </c>
      <c r="P62" s="14" t="s">
        <v>40</v>
      </c>
      <c r="Q62" s="28"/>
      <c r="R62" s="29" t="s">
        <v>41</v>
      </c>
      <c r="S62" s="27">
        <f t="shared" si="5"/>
        <v>684.95</v>
      </c>
      <c r="T62" s="27">
        <f t="shared" si="4"/>
        <v>38631</v>
      </c>
      <c r="V62" s="60"/>
    </row>
    <row r="63" spans="4:20" s="34" customFormat="1" ht="27">
      <c r="D63" s="49"/>
      <c r="E63" s="48" t="s">
        <v>45</v>
      </c>
      <c r="F63" s="47" t="s">
        <v>43</v>
      </c>
      <c r="G63" s="47"/>
      <c r="H63" s="48">
        <v>30</v>
      </c>
      <c r="I63" s="55">
        <f>500*95%</f>
        <v>475</v>
      </c>
      <c r="J63" s="55">
        <f t="shared" si="0"/>
        <v>14.25</v>
      </c>
      <c r="K63" s="55">
        <f t="shared" si="1"/>
        <v>489.25</v>
      </c>
      <c r="L63" s="48">
        <f t="shared" si="2"/>
        <v>14678</v>
      </c>
      <c r="M63" s="48" t="s">
        <v>44</v>
      </c>
      <c r="N63" s="47">
        <v>0</v>
      </c>
      <c r="O63" s="56" t="s">
        <v>30</v>
      </c>
      <c r="P63" s="15"/>
      <c r="Q63" s="30"/>
      <c r="R63" s="31"/>
      <c r="S63" s="27" t="s">
        <v>53</v>
      </c>
      <c r="T63" s="27"/>
    </row>
    <row r="64" spans="4:20" s="34" customFormat="1" ht="27">
      <c r="D64" s="49"/>
      <c r="E64" s="48" t="s">
        <v>42</v>
      </c>
      <c r="F64" s="47" t="s">
        <v>46</v>
      </c>
      <c r="G64" s="47"/>
      <c r="H64" s="48">
        <v>16</v>
      </c>
      <c r="I64" s="55">
        <f>50*95%</f>
        <v>47.5</v>
      </c>
      <c r="J64" s="55">
        <f t="shared" si="0"/>
        <v>1.425</v>
      </c>
      <c r="K64" s="55">
        <f t="shared" si="1"/>
        <v>48.925</v>
      </c>
      <c r="L64" s="48">
        <f t="shared" si="2"/>
        <v>783</v>
      </c>
      <c r="M64" s="48" t="s">
        <v>47</v>
      </c>
      <c r="N64" s="47">
        <v>0</v>
      </c>
      <c r="O64" s="56" t="s">
        <v>30</v>
      </c>
      <c r="P64" s="15"/>
      <c r="Q64" s="30"/>
      <c r="R64" s="31"/>
      <c r="S64" s="27" t="s">
        <v>53</v>
      </c>
      <c r="T64" s="27"/>
    </row>
    <row r="65" spans="4:20" ht="13.5">
      <c r="D65" s="62" t="s">
        <v>65</v>
      </c>
      <c r="E65" s="48" t="s">
        <v>66</v>
      </c>
      <c r="F65" s="47" t="s">
        <v>67</v>
      </c>
      <c r="G65" s="47"/>
      <c r="H65" s="48">
        <v>24000</v>
      </c>
      <c r="I65" s="55">
        <v>11.5</v>
      </c>
      <c r="J65" s="55">
        <f t="shared" si="0"/>
        <v>0.345</v>
      </c>
      <c r="K65" s="55">
        <f t="shared" si="1"/>
        <v>11.845</v>
      </c>
      <c r="L65" s="48">
        <f t="shared" si="2"/>
        <v>284280</v>
      </c>
      <c r="M65" s="48"/>
      <c r="N65" s="47">
        <v>0</v>
      </c>
      <c r="O65" s="48"/>
      <c r="P65" s="9"/>
      <c r="Q65" s="9"/>
      <c r="R65" s="26"/>
      <c r="S65" s="27">
        <f t="shared" si="5"/>
        <v>11.85</v>
      </c>
      <c r="T65" s="27">
        <f t="shared" si="4"/>
        <v>284400</v>
      </c>
    </row>
    <row r="66" spans="4:20" ht="27">
      <c r="D66" s="63"/>
      <c r="E66" s="64" t="s">
        <v>68</v>
      </c>
      <c r="F66" s="47" t="s">
        <v>34</v>
      </c>
      <c r="G66" s="47"/>
      <c r="H66" s="48">
        <f>F81+F82</f>
        <v>915</v>
      </c>
      <c r="I66" s="55">
        <v>80</v>
      </c>
      <c r="J66" s="55">
        <f t="shared" si="0"/>
        <v>2.4</v>
      </c>
      <c r="K66" s="55">
        <f t="shared" si="1"/>
        <v>82.4</v>
      </c>
      <c r="L66" s="48">
        <f t="shared" si="2"/>
        <v>75396</v>
      </c>
      <c r="M66" s="48"/>
      <c r="N66" s="47">
        <v>0</v>
      </c>
      <c r="O66" s="48"/>
      <c r="P66" s="9"/>
      <c r="Q66" s="9"/>
      <c r="R66" s="26"/>
      <c r="S66" s="27">
        <f t="shared" si="5"/>
        <v>82.4</v>
      </c>
      <c r="T66" s="27">
        <f t="shared" si="4"/>
        <v>75396</v>
      </c>
    </row>
    <row r="67" spans="4:20" s="35" customFormat="1" ht="13.5">
      <c r="D67" s="65" t="s">
        <v>69</v>
      </c>
      <c r="E67" s="66"/>
      <c r="F67" s="67" t="s">
        <v>70</v>
      </c>
      <c r="G67" s="68"/>
      <c r="H67" s="69"/>
      <c r="I67" s="72"/>
      <c r="J67" s="72"/>
      <c r="K67" s="72"/>
      <c r="L67" s="73">
        <v>449598.48</v>
      </c>
      <c r="M67" s="69"/>
      <c r="N67" s="68"/>
      <c r="O67" s="69"/>
      <c r="P67" s="74"/>
      <c r="Q67" s="74"/>
      <c r="R67" s="77"/>
      <c r="S67" s="32"/>
      <c r="T67" s="32">
        <f>ROUND(SUM(T1:T66)*1.5%,0)</f>
        <v>438827</v>
      </c>
    </row>
    <row r="68" spans="4:20" ht="13.5">
      <c r="D68" s="70"/>
      <c r="E68" s="48"/>
      <c r="F68" s="48" t="s">
        <v>71</v>
      </c>
      <c r="G68" s="48"/>
      <c r="H68" s="48"/>
      <c r="I68" s="48"/>
      <c r="J68" s="48"/>
      <c r="K68" s="48"/>
      <c r="L68" s="75">
        <f>SUM(L5:L66)+L67</f>
        <v>30422830.48</v>
      </c>
      <c r="M68" s="48"/>
      <c r="N68" s="48"/>
      <c r="O68" s="48"/>
      <c r="P68" s="9"/>
      <c r="Q68" s="9"/>
      <c r="R68" s="26"/>
      <c r="S68" s="27"/>
      <c r="T68" s="27">
        <f>SUM(T1:T67)</f>
        <v>29693967</v>
      </c>
    </row>
    <row r="69" ht="13.5">
      <c r="D69" s="71"/>
    </row>
    <row r="70" ht="13.5">
      <c r="D70" s="71"/>
    </row>
    <row r="72" ht="13.5">
      <c r="E72" s="36">
        <f>H61+H55+H49+H43+H37+H31+H25+H19+H13+H7</f>
        <v>44545.619999999995</v>
      </c>
    </row>
    <row r="73" spans="5:9" ht="13.5">
      <c r="E73" s="36">
        <f>E72*40</f>
        <v>1781824.7999999998</v>
      </c>
      <c r="H73" s="36" t="s">
        <v>72</v>
      </c>
      <c r="I73" s="36" t="s">
        <v>73</v>
      </c>
    </row>
    <row r="74" spans="8:9" ht="13.5">
      <c r="H74" s="36" t="s">
        <v>74</v>
      </c>
      <c r="I74" s="36" t="s">
        <v>75</v>
      </c>
    </row>
    <row r="80" spans="6:10" ht="13.5">
      <c r="F80" s="36">
        <f>800*30</f>
        <v>24000</v>
      </c>
      <c r="J80" s="36" t="s">
        <v>76</v>
      </c>
    </row>
    <row r="81" spans="6:10" ht="13.5">
      <c r="F81" s="36">
        <f>800*0.5*0.3*2</f>
        <v>240</v>
      </c>
      <c r="J81" s="36" t="s">
        <v>77</v>
      </c>
    </row>
    <row r="82" spans="6:10" ht="13.5">
      <c r="F82" s="36">
        <f>50*1.5*0.2*45</f>
        <v>675</v>
      </c>
      <c r="J82" s="36" t="s">
        <v>78</v>
      </c>
    </row>
    <row r="83" spans="10:12" ht="13.5">
      <c r="J83" s="36" t="s">
        <v>79</v>
      </c>
      <c r="K83" s="76">
        <v>43770</v>
      </c>
      <c r="L83" s="36" t="s">
        <v>80</v>
      </c>
    </row>
    <row r="84" spans="10:12" ht="13.5">
      <c r="J84" s="36" t="s">
        <v>81</v>
      </c>
      <c r="K84" s="36" t="s">
        <v>82</v>
      </c>
      <c r="L84" s="36" t="s">
        <v>83</v>
      </c>
    </row>
    <row r="85" ht="13.5">
      <c r="L85" s="36" t="s">
        <v>84</v>
      </c>
    </row>
    <row r="86" ht="13.5">
      <c r="L86" s="36">
        <f>210*6000*17</f>
        <v>21420000</v>
      </c>
    </row>
    <row r="93" ht="13.5">
      <c r="L93" s="36">
        <f>19*30</f>
        <v>570</v>
      </c>
    </row>
  </sheetData>
  <sheetProtection/>
  <mergeCells count="24">
    <mergeCell ref="P2:R2"/>
    <mergeCell ref="S2:T2"/>
    <mergeCell ref="D67:E67"/>
    <mergeCell ref="D2:D3"/>
    <mergeCell ref="D5:D10"/>
    <mergeCell ref="D11:D16"/>
    <mergeCell ref="D17:D22"/>
    <mergeCell ref="D23:D28"/>
    <mergeCell ref="D29:D34"/>
    <mergeCell ref="D35:D40"/>
    <mergeCell ref="D41:D46"/>
    <mergeCell ref="D47:D52"/>
    <mergeCell ref="D53:D58"/>
    <mergeCell ref="D59:D64"/>
    <mergeCell ref="D65:D66"/>
    <mergeCell ref="E2:E3"/>
    <mergeCell ref="F2:F3"/>
    <mergeCell ref="G2:G3"/>
    <mergeCell ref="H2:H3"/>
    <mergeCell ref="L2:L3"/>
    <mergeCell ref="M2:M3"/>
    <mergeCell ref="N2:N3"/>
    <mergeCell ref="O2:O3"/>
    <mergeCell ref="I2:K3"/>
  </mergeCells>
  <printOptions/>
  <pageMargins left="0.75" right="0.75" top="1" bottom="1" header="0.51" footer="0.51"/>
  <pageSetup orientation="portrait" paperSize="9" scale="41"/>
</worksheet>
</file>

<file path=xl/worksheets/sheet2.xml><?xml version="1.0" encoding="utf-8"?>
<worksheet xmlns="http://schemas.openxmlformats.org/spreadsheetml/2006/main" xmlns:r="http://schemas.openxmlformats.org/officeDocument/2006/relationships">
  <dimension ref="C1:T56"/>
  <sheetViews>
    <sheetView tabSelected="1" view="pageBreakPreview" zoomScale="85" zoomScaleSheetLayoutView="85" workbookViewId="0" topLeftCell="C1">
      <pane ySplit="4" topLeftCell="A50" activePane="bottomLeft" state="frozen"/>
      <selection pane="bottomLeft" activeCell="K51" sqref="K51"/>
    </sheetView>
  </sheetViews>
  <sheetFormatPr defaultColWidth="8.7109375" defaultRowHeight="15"/>
  <cols>
    <col min="3" max="3" width="7.8515625" style="0" customWidth="1"/>
    <col min="4" max="4" width="12.140625" style="0" customWidth="1"/>
    <col min="5" max="5" width="7.00390625" style="0" customWidth="1"/>
    <col min="6" max="6" width="8.8515625" style="0" customWidth="1"/>
    <col min="7" max="7" width="9.421875" style="0" bestFit="1" customWidth="1"/>
    <col min="8" max="8" width="12.57421875" style="0" customWidth="1"/>
    <col min="9" max="10" width="10.421875" style="0" customWidth="1"/>
    <col min="11" max="11" width="12.57421875" style="0" bestFit="1" customWidth="1"/>
    <col min="12" max="12" width="63.57421875" style="0" customWidth="1"/>
    <col min="13" max="13" width="10.140625" style="0" customWidth="1"/>
    <col min="14" max="14" width="12.421875" style="0" customWidth="1"/>
    <col min="15" max="15" width="10.57421875" style="0" customWidth="1"/>
    <col min="16" max="16" width="8.140625" style="0" hidden="1" customWidth="1"/>
    <col min="17" max="18" width="8.7109375" style="0" hidden="1" customWidth="1"/>
    <col min="19" max="19" width="9.421875" style="1" hidden="1" customWidth="1"/>
    <col min="20" max="20" width="13.421875" style="1" hidden="1" customWidth="1"/>
    <col min="22" max="22" width="11.421875" style="0" bestFit="1" customWidth="1"/>
  </cols>
  <sheetData>
    <row r="1" spans="3:14" ht="27.75" customHeight="1">
      <c r="C1" s="2" t="s">
        <v>85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20" ht="30.75" customHeight="1">
      <c r="C2" s="4" t="s">
        <v>0</v>
      </c>
      <c r="D2" s="5" t="s">
        <v>1</v>
      </c>
      <c r="E2" s="4" t="s">
        <v>2</v>
      </c>
      <c r="F2" s="4" t="s">
        <v>3</v>
      </c>
      <c r="G2" s="4" t="s">
        <v>4</v>
      </c>
      <c r="H2" s="5" t="s">
        <v>86</v>
      </c>
      <c r="I2" s="5"/>
      <c r="J2" s="5"/>
      <c r="K2" s="4" t="s">
        <v>6</v>
      </c>
      <c r="L2" s="4" t="s">
        <v>7</v>
      </c>
      <c r="M2" s="4" t="s">
        <v>8</v>
      </c>
      <c r="N2" s="4" t="s">
        <v>9</v>
      </c>
      <c r="O2" s="10" t="s">
        <v>10</v>
      </c>
      <c r="P2" s="12" t="s">
        <v>10</v>
      </c>
      <c r="Q2" s="17"/>
      <c r="R2" s="18"/>
      <c r="S2" s="19" t="s">
        <v>11</v>
      </c>
      <c r="T2" s="19"/>
    </row>
    <row r="3" spans="3:20" ht="36" customHeight="1">
      <c r="C3" s="4"/>
      <c r="D3" s="5"/>
      <c r="E3" s="4"/>
      <c r="F3" s="4"/>
      <c r="G3" s="4"/>
      <c r="H3" s="5"/>
      <c r="I3" s="5"/>
      <c r="J3" s="5"/>
      <c r="K3" s="4"/>
      <c r="L3" s="4"/>
      <c r="M3" s="4"/>
      <c r="N3" s="4"/>
      <c r="O3" s="10"/>
      <c r="P3" s="4" t="s">
        <v>12</v>
      </c>
      <c r="Q3" s="20" t="s">
        <v>13</v>
      </c>
      <c r="R3" s="21" t="s">
        <v>14</v>
      </c>
      <c r="S3" s="22" t="s">
        <v>15</v>
      </c>
      <c r="T3" s="19" t="s">
        <v>16</v>
      </c>
    </row>
    <row r="4" spans="3:20" ht="36" customHeight="1">
      <c r="C4" s="6" t="s">
        <v>17</v>
      </c>
      <c r="D4" s="6" t="s">
        <v>18</v>
      </c>
      <c r="E4" s="6" t="s">
        <v>2</v>
      </c>
      <c r="F4" s="6"/>
      <c r="G4" s="7" t="s">
        <v>19</v>
      </c>
      <c r="H4" s="7" t="s">
        <v>20</v>
      </c>
      <c r="I4" s="7" t="s">
        <v>21</v>
      </c>
      <c r="J4" s="7" t="s">
        <v>87</v>
      </c>
      <c r="K4" s="7" t="s">
        <v>23</v>
      </c>
      <c r="L4" s="13" t="s">
        <v>24</v>
      </c>
      <c r="M4" s="13"/>
      <c r="N4" s="13" t="s">
        <v>25</v>
      </c>
      <c r="O4" s="13"/>
      <c r="P4" s="13"/>
      <c r="Q4" s="13"/>
      <c r="R4" s="23"/>
      <c r="S4" s="24"/>
      <c r="T4" s="25"/>
    </row>
    <row r="5" spans="3:20" ht="93.75" customHeight="1">
      <c r="C5" s="8" t="s">
        <v>26</v>
      </c>
      <c r="D5" s="9" t="s">
        <v>27</v>
      </c>
      <c r="E5" s="10" t="s">
        <v>28</v>
      </c>
      <c r="F5" s="10"/>
      <c r="G5" s="9">
        <f>4977052+1183335</f>
        <v>6160387</v>
      </c>
      <c r="H5" s="11">
        <v>0.544</v>
      </c>
      <c r="I5" s="11">
        <f aca="true" t="shared" si="0" ref="I5:I54">H5*3%</f>
        <v>0.01632</v>
      </c>
      <c r="J5" s="11">
        <f>I5+H5</f>
        <v>0.56032</v>
      </c>
      <c r="K5" s="9">
        <f aca="true" t="shared" si="1" ref="K5:K54">ROUND(J5*G5,0)</f>
        <v>3451788</v>
      </c>
      <c r="L5" s="14" t="s">
        <v>88</v>
      </c>
      <c r="M5" s="10">
        <v>0</v>
      </c>
      <c r="N5" s="14" t="s">
        <v>30</v>
      </c>
      <c r="O5" s="9"/>
      <c r="P5" s="14">
        <v>0.5</v>
      </c>
      <c r="Q5" s="9">
        <v>0.6</v>
      </c>
      <c r="R5" s="26">
        <v>0.54</v>
      </c>
      <c r="S5" s="27">
        <v>0.49</v>
      </c>
      <c r="T5" s="27">
        <v>3018590</v>
      </c>
    </row>
    <row r="6" spans="3:20" ht="93.75" customHeight="1">
      <c r="C6" s="8"/>
      <c r="D6" s="9" t="s">
        <v>31</v>
      </c>
      <c r="E6" s="10" t="s">
        <v>28</v>
      </c>
      <c r="F6" s="10"/>
      <c r="G6" s="9">
        <v>1700309</v>
      </c>
      <c r="H6" s="11">
        <f>(1.26+0.16)*95%</f>
        <v>1.349</v>
      </c>
      <c r="I6" s="11">
        <f t="shared" si="0"/>
        <v>0.04047</v>
      </c>
      <c r="J6" s="11">
        <f aca="true" t="shared" si="2" ref="J6:J37">I6+H6</f>
        <v>1.38947</v>
      </c>
      <c r="K6" s="9">
        <f t="shared" si="1"/>
        <v>2362528</v>
      </c>
      <c r="L6" s="14" t="s">
        <v>89</v>
      </c>
      <c r="M6" s="10">
        <v>0</v>
      </c>
      <c r="N6" s="14" t="s">
        <v>30</v>
      </c>
      <c r="O6" s="9"/>
      <c r="P6" s="14">
        <v>1.5</v>
      </c>
      <c r="Q6" s="9">
        <v>1.2</v>
      </c>
      <c r="R6" s="26">
        <v>1.4</v>
      </c>
      <c r="S6" s="27">
        <v>1.38</v>
      </c>
      <c r="T6" s="27">
        <v>1940197</v>
      </c>
    </row>
    <row r="7" spans="3:20" ht="180.75" customHeight="1">
      <c r="C7" s="8"/>
      <c r="D7" s="9" t="s">
        <v>33</v>
      </c>
      <c r="E7" s="10" t="s">
        <v>34</v>
      </c>
      <c r="F7" s="8" t="s">
        <v>35</v>
      </c>
      <c r="G7" s="9">
        <f>31049.6-6643</f>
        <v>24406.6</v>
      </c>
      <c r="H7" s="11">
        <v>388.4</v>
      </c>
      <c r="I7" s="11">
        <f t="shared" si="0"/>
        <v>11.652</v>
      </c>
      <c r="J7" s="11">
        <f t="shared" si="2"/>
        <v>400.05199999999996</v>
      </c>
      <c r="K7" s="9">
        <f t="shared" si="1"/>
        <v>9763909</v>
      </c>
      <c r="L7" s="14" t="s">
        <v>90</v>
      </c>
      <c r="M7" s="8">
        <v>0</v>
      </c>
      <c r="N7" s="14" t="s">
        <v>30</v>
      </c>
      <c r="O7" s="14" t="s">
        <v>91</v>
      </c>
      <c r="P7" s="14">
        <v>440</v>
      </c>
      <c r="Q7" s="9">
        <v>490</v>
      </c>
      <c r="R7" s="26">
        <v>440</v>
      </c>
      <c r="S7" s="27">
        <v>360.96</v>
      </c>
      <c r="T7" s="27">
        <v>8809806</v>
      </c>
    </row>
    <row r="8" spans="3:20" ht="91.5" customHeight="1">
      <c r="C8" s="8"/>
      <c r="D8" s="9" t="s">
        <v>37</v>
      </c>
      <c r="E8" s="10" t="s">
        <v>34</v>
      </c>
      <c r="F8" s="8" t="s">
        <v>38</v>
      </c>
      <c r="G8" s="9">
        <f>3414.7-751.5</f>
        <v>2663.2</v>
      </c>
      <c r="H8" s="11">
        <f>700*95%</f>
        <v>665</v>
      </c>
      <c r="I8" s="11">
        <f t="shared" si="0"/>
        <v>19.95</v>
      </c>
      <c r="J8" s="11">
        <f t="shared" si="2"/>
        <v>684.95</v>
      </c>
      <c r="K8" s="9">
        <f t="shared" si="1"/>
        <v>1824159</v>
      </c>
      <c r="L8" s="14" t="s">
        <v>92</v>
      </c>
      <c r="M8" s="8">
        <v>0</v>
      </c>
      <c r="N8" s="14" t="s">
        <v>30</v>
      </c>
      <c r="O8" s="9"/>
      <c r="P8" s="14" t="s">
        <v>40</v>
      </c>
      <c r="Q8" s="9"/>
      <c r="R8" s="26" t="s">
        <v>41</v>
      </c>
      <c r="S8" s="27">
        <v>684.95</v>
      </c>
      <c r="T8" s="27">
        <v>1824159</v>
      </c>
    </row>
    <row r="9" spans="3:20" ht="91.5" customHeight="1">
      <c r="C9" s="8"/>
      <c r="D9" s="9" t="s">
        <v>42</v>
      </c>
      <c r="E9" s="10" t="s">
        <v>43</v>
      </c>
      <c r="F9" s="10"/>
      <c r="G9" s="9">
        <v>310</v>
      </c>
      <c r="H9" s="11">
        <f>500*95%</f>
        <v>475</v>
      </c>
      <c r="I9" s="11">
        <f t="shared" si="0"/>
        <v>14.25</v>
      </c>
      <c r="J9" s="11">
        <f t="shared" si="2"/>
        <v>489.25</v>
      </c>
      <c r="K9" s="9">
        <f t="shared" si="1"/>
        <v>151668</v>
      </c>
      <c r="L9" s="9" t="s">
        <v>93</v>
      </c>
      <c r="M9" s="10">
        <v>0</v>
      </c>
      <c r="N9" s="14" t="s">
        <v>30</v>
      </c>
      <c r="O9" s="9"/>
      <c r="P9" s="14"/>
      <c r="Q9" s="9"/>
      <c r="R9" s="26"/>
      <c r="S9" s="27"/>
      <c r="T9" s="27">
        <f>ROUND(S9*G9,0)</f>
        <v>0</v>
      </c>
    </row>
    <row r="10" spans="3:20" ht="93" customHeight="1">
      <c r="C10" s="8" t="s">
        <v>48</v>
      </c>
      <c r="D10" s="9" t="s">
        <v>27</v>
      </c>
      <c r="E10" s="10" t="s">
        <v>28</v>
      </c>
      <c r="F10" s="10"/>
      <c r="G10" s="9">
        <f>1358921+316968</f>
        <v>1675889</v>
      </c>
      <c r="H10" s="11">
        <v>0.544</v>
      </c>
      <c r="I10" s="11">
        <f t="shared" si="0"/>
        <v>0.01632</v>
      </c>
      <c r="J10" s="11">
        <f t="shared" si="2"/>
        <v>0.56032</v>
      </c>
      <c r="K10" s="9">
        <f t="shared" si="1"/>
        <v>939034</v>
      </c>
      <c r="L10" s="14" t="s">
        <v>88</v>
      </c>
      <c r="M10" s="10">
        <v>0</v>
      </c>
      <c r="N10" s="14" t="s">
        <v>30</v>
      </c>
      <c r="O10" s="9"/>
      <c r="P10" s="14">
        <v>0.5</v>
      </c>
      <c r="Q10" s="9">
        <v>0.6</v>
      </c>
      <c r="R10" s="26">
        <v>0.54</v>
      </c>
      <c r="S10" s="27">
        <f>ROUND(P10*98.5%,2)</f>
        <v>0.49</v>
      </c>
      <c r="T10" s="27">
        <f>ROUND(S10*G10,0)</f>
        <v>821186</v>
      </c>
    </row>
    <row r="11" spans="3:20" ht="93.75" customHeight="1">
      <c r="C11" s="8"/>
      <c r="D11" s="9" t="s">
        <v>31</v>
      </c>
      <c r="E11" s="10" t="s">
        <v>28</v>
      </c>
      <c r="F11" s="10"/>
      <c r="G11" s="9">
        <v>337924.9</v>
      </c>
      <c r="H11" s="11">
        <f>(1.26+0.16)*95%</f>
        <v>1.349</v>
      </c>
      <c r="I11" s="11">
        <f t="shared" si="0"/>
        <v>0.04047</v>
      </c>
      <c r="J11" s="11">
        <f t="shared" si="2"/>
        <v>1.38947</v>
      </c>
      <c r="K11" s="9">
        <f t="shared" si="1"/>
        <v>469537</v>
      </c>
      <c r="L11" s="14" t="s">
        <v>89</v>
      </c>
      <c r="M11" s="10">
        <v>0</v>
      </c>
      <c r="N11" s="14" t="s">
        <v>30</v>
      </c>
      <c r="O11" s="9"/>
      <c r="P11" s="14">
        <v>1.5</v>
      </c>
      <c r="Q11" s="9">
        <v>1.2</v>
      </c>
      <c r="R11" s="26">
        <v>1.4</v>
      </c>
      <c r="S11" s="27">
        <f>ROUND(R11*98.5%,2)</f>
        <v>1.38</v>
      </c>
      <c r="T11" s="27">
        <f>ROUND(S11*G11,0)</f>
        <v>466336</v>
      </c>
    </row>
    <row r="12" spans="3:20" ht="181.5" customHeight="1">
      <c r="C12" s="8"/>
      <c r="D12" s="9" t="s">
        <v>33</v>
      </c>
      <c r="E12" s="10" t="s">
        <v>34</v>
      </c>
      <c r="F12" s="8" t="s">
        <v>35</v>
      </c>
      <c r="G12" s="9">
        <v>7941.12</v>
      </c>
      <c r="H12" s="11">
        <v>378.644</v>
      </c>
      <c r="I12" s="11">
        <f t="shared" si="0"/>
        <v>11.35932</v>
      </c>
      <c r="J12" s="11">
        <f t="shared" si="2"/>
        <v>390.00332000000003</v>
      </c>
      <c r="K12" s="9">
        <f t="shared" si="1"/>
        <v>3097063</v>
      </c>
      <c r="L12" s="14" t="s">
        <v>90</v>
      </c>
      <c r="M12" s="8">
        <v>0</v>
      </c>
      <c r="N12" s="14" t="s">
        <v>30</v>
      </c>
      <c r="O12" s="14"/>
      <c r="P12" s="14">
        <v>440</v>
      </c>
      <c r="Q12" s="9">
        <v>490</v>
      </c>
      <c r="R12" s="26">
        <v>440</v>
      </c>
      <c r="S12" s="27">
        <v>356.07</v>
      </c>
      <c r="T12" s="27">
        <f>ROUND(S12*G12,0)</f>
        <v>2827595</v>
      </c>
    </row>
    <row r="13" spans="3:20" ht="94.5" customHeight="1">
      <c r="C13" s="8"/>
      <c r="D13" s="9" t="s">
        <v>37</v>
      </c>
      <c r="E13" s="10" t="s">
        <v>34</v>
      </c>
      <c r="F13" s="8" t="s">
        <v>38</v>
      </c>
      <c r="G13" s="9">
        <v>1015.32</v>
      </c>
      <c r="H13" s="11">
        <f>700*95%</f>
        <v>665</v>
      </c>
      <c r="I13" s="11">
        <f t="shared" si="0"/>
        <v>19.95</v>
      </c>
      <c r="J13" s="11">
        <f t="shared" si="2"/>
        <v>684.95</v>
      </c>
      <c r="K13" s="9">
        <f t="shared" si="1"/>
        <v>695443</v>
      </c>
      <c r="L13" s="14" t="s">
        <v>92</v>
      </c>
      <c r="M13" s="8">
        <v>0</v>
      </c>
      <c r="N13" s="14" t="s">
        <v>30</v>
      </c>
      <c r="O13" s="9"/>
      <c r="P13" s="14" t="s">
        <v>40</v>
      </c>
      <c r="Q13" s="28"/>
      <c r="R13" s="29" t="s">
        <v>41</v>
      </c>
      <c r="S13" s="27">
        <v>684.95</v>
      </c>
      <c r="T13" s="27">
        <f>ROUND(S13*G13,0)</f>
        <v>695443</v>
      </c>
    </row>
    <row r="14" spans="3:20" ht="94.5" customHeight="1">
      <c r="C14" s="8"/>
      <c r="D14" s="9" t="s">
        <v>42</v>
      </c>
      <c r="E14" s="10" t="s">
        <v>43</v>
      </c>
      <c r="F14" s="10"/>
      <c r="G14" s="9">
        <v>180</v>
      </c>
      <c r="H14" s="11">
        <f>500*95%</f>
        <v>475</v>
      </c>
      <c r="I14" s="11">
        <f t="shared" si="0"/>
        <v>14.25</v>
      </c>
      <c r="J14" s="11">
        <f t="shared" si="2"/>
        <v>489.25</v>
      </c>
      <c r="K14" s="9">
        <f t="shared" si="1"/>
        <v>88065</v>
      </c>
      <c r="L14" s="9" t="s">
        <v>93</v>
      </c>
      <c r="M14" s="10">
        <v>0</v>
      </c>
      <c r="N14" s="14" t="s">
        <v>30</v>
      </c>
      <c r="O14" s="9"/>
      <c r="P14" s="15"/>
      <c r="Q14" s="30"/>
      <c r="R14" s="31"/>
      <c r="S14" s="27" t="s">
        <v>53</v>
      </c>
      <c r="T14" s="27"/>
    </row>
    <row r="15" spans="3:20" ht="79.5" customHeight="1">
      <c r="C15" s="8" t="s">
        <v>55</v>
      </c>
      <c r="D15" s="9" t="s">
        <v>27</v>
      </c>
      <c r="E15" s="10" t="s">
        <v>28</v>
      </c>
      <c r="F15" s="10"/>
      <c r="G15" s="9">
        <f>1011284+232164</f>
        <v>1243448</v>
      </c>
      <c r="H15" s="11">
        <v>0.544</v>
      </c>
      <c r="I15" s="11">
        <f t="shared" si="0"/>
        <v>0.01632</v>
      </c>
      <c r="J15" s="11">
        <f t="shared" si="2"/>
        <v>0.56032</v>
      </c>
      <c r="K15" s="9">
        <f t="shared" si="1"/>
        <v>696729</v>
      </c>
      <c r="L15" s="14" t="s">
        <v>88</v>
      </c>
      <c r="M15" s="10">
        <v>0</v>
      </c>
      <c r="N15" s="14" t="s">
        <v>30</v>
      </c>
      <c r="O15" s="9"/>
      <c r="P15" s="14">
        <v>0.5</v>
      </c>
      <c r="Q15" s="9">
        <v>0.6</v>
      </c>
      <c r="R15" s="26">
        <v>0.54</v>
      </c>
      <c r="S15" s="27">
        <f>ROUND(P15*98.5%,2)</f>
        <v>0.49</v>
      </c>
      <c r="T15" s="27">
        <f aca="true" t="shared" si="3" ref="T15:T23">ROUND(S15*G15,0)</f>
        <v>609290</v>
      </c>
    </row>
    <row r="16" spans="3:20" ht="84" customHeight="1">
      <c r="C16" s="8"/>
      <c r="D16" s="9" t="s">
        <v>31</v>
      </c>
      <c r="E16" s="10" t="s">
        <v>28</v>
      </c>
      <c r="F16" s="10"/>
      <c r="G16" s="9">
        <v>327102</v>
      </c>
      <c r="H16" s="11">
        <f>(1.26+0.16)*95%</f>
        <v>1.349</v>
      </c>
      <c r="I16" s="11">
        <f t="shared" si="0"/>
        <v>0.04047</v>
      </c>
      <c r="J16" s="11">
        <f t="shared" si="2"/>
        <v>1.38947</v>
      </c>
      <c r="K16" s="9">
        <f t="shared" si="1"/>
        <v>454498</v>
      </c>
      <c r="L16" s="14" t="s">
        <v>89</v>
      </c>
      <c r="M16" s="10">
        <v>0</v>
      </c>
      <c r="N16" s="14" t="s">
        <v>30</v>
      </c>
      <c r="O16" s="9"/>
      <c r="P16" s="14">
        <v>1.5</v>
      </c>
      <c r="Q16" s="9">
        <v>1.2</v>
      </c>
      <c r="R16" s="26">
        <v>1.4</v>
      </c>
      <c r="S16" s="27">
        <f>ROUND(R16*98.5%,2)</f>
        <v>1.38</v>
      </c>
      <c r="T16" s="27">
        <f t="shared" si="3"/>
        <v>451401</v>
      </c>
    </row>
    <row r="17" spans="3:20" ht="168" customHeight="1">
      <c r="C17" s="8"/>
      <c r="D17" s="9" t="s">
        <v>33</v>
      </c>
      <c r="E17" s="10" t="s">
        <v>34</v>
      </c>
      <c r="F17" s="8" t="s">
        <v>35</v>
      </c>
      <c r="G17" s="9">
        <v>5918.4</v>
      </c>
      <c r="H17" s="11">
        <v>378.644</v>
      </c>
      <c r="I17" s="11">
        <f t="shared" si="0"/>
        <v>11.35932</v>
      </c>
      <c r="J17" s="11">
        <f t="shared" si="2"/>
        <v>390.00332000000003</v>
      </c>
      <c r="K17" s="9">
        <f t="shared" si="1"/>
        <v>2308196</v>
      </c>
      <c r="L17" s="14" t="s">
        <v>90</v>
      </c>
      <c r="M17" s="8">
        <v>0</v>
      </c>
      <c r="N17" s="14" t="s">
        <v>30</v>
      </c>
      <c r="O17" s="14"/>
      <c r="P17" s="14">
        <v>440</v>
      </c>
      <c r="Q17" s="9">
        <v>490</v>
      </c>
      <c r="R17" s="26">
        <v>440</v>
      </c>
      <c r="S17" s="27">
        <v>356.07</v>
      </c>
      <c r="T17" s="27">
        <f t="shared" si="3"/>
        <v>2107365</v>
      </c>
    </row>
    <row r="18" spans="3:20" ht="111" customHeight="1">
      <c r="C18" s="8"/>
      <c r="D18" s="9" t="s">
        <v>37</v>
      </c>
      <c r="E18" s="10" t="s">
        <v>34</v>
      </c>
      <c r="F18" s="8" t="s">
        <v>38</v>
      </c>
      <c r="G18" s="9">
        <v>750.6</v>
      </c>
      <c r="H18" s="11">
        <f>700*95%</f>
        <v>665</v>
      </c>
      <c r="I18" s="11">
        <f t="shared" si="0"/>
        <v>19.95</v>
      </c>
      <c r="J18" s="11">
        <f t="shared" si="2"/>
        <v>684.95</v>
      </c>
      <c r="K18" s="9">
        <f t="shared" si="1"/>
        <v>514123</v>
      </c>
      <c r="L18" s="14" t="s">
        <v>92</v>
      </c>
      <c r="M18" s="8">
        <v>0</v>
      </c>
      <c r="N18" s="14" t="s">
        <v>30</v>
      </c>
      <c r="O18" s="9"/>
      <c r="P18" s="14" t="s">
        <v>40</v>
      </c>
      <c r="Q18" s="9"/>
      <c r="R18" s="26" t="s">
        <v>41</v>
      </c>
      <c r="S18" s="27">
        <v>684.95</v>
      </c>
      <c r="T18" s="27">
        <f t="shared" si="3"/>
        <v>514123</v>
      </c>
    </row>
    <row r="19" spans="3:20" ht="111" customHeight="1">
      <c r="C19" s="8"/>
      <c r="D19" s="9" t="s">
        <v>42</v>
      </c>
      <c r="E19" s="10" t="s">
        <v>43</v>
      </c>
      <c r="F19" s="10"/>
      <c r="G19" s="9">
        <v>148</v>
      </c>
      <c r="H19" s="11">
        <f>500*95%</f>
        <v>475</v>
      </c>
      <c r="I19" s="11">
        <f t="shared" si="0"/>
        <v>14.25</v>
      </c>
      <c r="J19" s="11">
        <f t="shared" si="2"/>
        <v>489.25</v>
      </c>
      <c r="K19" s="9">
        <f t="shared" si="1"/>
        <v>72409</v>
      </c>
      <c r="L19" s="9" t="s">
        <v>93</v>
      </c>
      <c r="M19" s="10">
        <v>0</v>
      </c>
      <c r="N19" s="14" t="s">
        <v>30</v>
      </c>
      <c r="O19" s="9"/>
      <c r="P19" s="14"/>
      <c r="Q19" s="9"/>
      <c r="R19" s="26"/>
      <c r="S19" s="27"/>
      <c r="T19" s="27">
        <f t="shared" si="3"/>
        <v>0</v>
      </c>
    </row>
    <row r="20" spans="3:20" ht="87" customHeight="1">
      <c r="C20" s="8" t="s">
        <v>57</v>
      </c>
      <c r="D20" s="9" t="s">
        <v>27</v>
      </c>
      <c r="E20" s="10" t="s">
        <v>28</v>
      </c>
      <c r="F20" s="10"/>
      <c r="G20" s="9">
        <f>138187+30566</f>
        <v>168753</v>
      </c>
      <c r="H20" s="11">
        <v>0.544</v>
      </c>
      <c r="I20" s="11">
        <f t="shared" si="0"/>
        <v>0.01632</v>
      </c>
      <c r="J20" s="11">
        <f t="shared" si="2"/>
        <v>0.56032</v>
      </c>
      <c r="K20" s="9">
        <f t="shared" si="1"/>
        <v>94556</v>
      </c>
      <c r="L20" s="14" t="s">
        <v>88</v>
      </c>
      <c r="M20" s="10">
        <v>0</v>
      </c>
      <c r="N20" s="14" t="s">
        <v>30</v>
      </c>
      <c r="O20" s="9"/>
      <c r="P20" s="14">
        <v>0.5</v>
      </c>
      <c r="Q20" s="9">
        <v>0.6</v>
      </c>
      <c r="R20" s="26">
        <v>0.54</v>
      </c>
      <c r="S20" s="27">
        <f>ROUND(P20*98.5%,2)</f>
        <v>0.49</v>
      </c>
      <c r="T20" s="27">
        <f t="shared" si="3"/>
        <v>82689</v>
      </c>
    </row>
    <row r="21" spans="3:20" ht="91.5" customHeight="1">
      <c r="C21" s="8"/>
      <c r="D21" s="9" t="s">
        <v>31</v>
      </c>
      <c r="E21" s="10" t="s">
        <v>28</v>
      </c>
      <c r="F21" s="10"/>
      <c r="G21" s="9">
        <v>31912.7</v>
      </c>
      <c r="H21" s="11">
        <f>(1.26+0.16)*95%</f>
        <v>1.349</v>
      </c>
      <c r="I21" s="11">
        <f t="shared" si="0"/>
        <v>0.04047</v>
      </c>
      <c r="J21" s="11">
        <f t="shared" si="2"/>
        <v>1.38947</v>
      </c>
      <c r="K21" s="9">
        <f t="shared" si="1"/>
        <v>44342</v>
      </c>
      <c r="L21" s="14" t="s">
        <v>89</v>
      </c>
      <c r="M21" s="10">
        <v>0</v>
      </c>
      <c r="N21" s="14" t="s">
        <v>30</v>
      </c>
      <c r="O21" s="9"/>
      <c r="P21" s="14">
        <v>1.5</v>
      </c>
      <c r="Q21" s="9">
        <v>1.2</v>
      </c>
      <c r="R21" s="26">
        <v>1.4</v>
      </c>
      <c r="S21" s="27">
        <f>ROUND(R21*98.5%,2)</f>
        <v>1.38</v>
      </c>
      <c r="T21" s="27">
        <f t="shared" si="3"/>
        <v>44040</v>
      </c>
    </row>
    <row r="22" spans="3:20" ht="168" customHeight="1">
      <c r="C22" s="8"/>
      <c r="D22" s="9" t="s">
        <v>33</v>
      </c>
      <c r="E22" s="10" t="s">
        <v>34</v>
      </c>
      <c r="F22" s="8" t="s">
        <v>35</v>
      </c>
      <c r="G22" s="9">
        <v>796.7</v>
      </c>
      <c r="H22" s="11">
        <v>378.644</v>
      </c>
      <c r="I22" s="11">
        <f t="shared" si="0"/>
        <v>11.35932</v>
      </c>
      <c r="J22" s="11">
        <f t="shared" si="2"/>
        <v>390.00332000000003</v>
      </c>
      <c r="K22" s="9">
        <f t="shared" si="1"/>
        <v>310716</v>
      </c>
      <c r="L22" s="14" t="s">
        <v>90</v>
      </c>
      <c r="M22" s="8">
        <v>0</v>
      </c>
      <c r="N22" s="14" t="s">
        <v>30</v>
      </c>
      <c r="O22" s="14"/>
      <c r="P22" s="14">
        <v>440</v>
      </c>
      <c r="Q22" s="9">
        <v>490</v>
      </c>
      <c r="R22" s="26">
        <v>440</v>
      </c>
      <c r="S22" s="27">
        <v>397.27</v>
      </c>
      <c r="T22" s="27">
        <f t="shared" si="3"/>
        <v>316505</v>
      </c>
    </row>
    <row r="23" spans="3:20" ht="105" customHeight="1">
      <c r="C23" s="8"/>
      <c r="D23" s="9" t="s">
        <v>37</v>
      </c>
      <c r="E23" s="10" t="s">
        <v>34</v>
      </c>
      <c r="F23" s="8" t="s">
        <v>38</v>
      </c>
      <c r="G23" s="9">
        <v>92.4</v>
      </c>
      <c r="H23" s="11">
        <f>700*95%</f>
        <v>665</v>
      </c>
      <c r="I23" s="11">
        <f t="shared" si="0"/>
        <v>19.95</v>
      </c>
      <c r="J23" s="11">
        <f t="shared" si="2"/>
        <v>684.95</v>
      </c>
      <c r="K23" s="9">
        <f t="shared" si="1"/>
        <v>63289</v>
      </c>
      <c r="L23" s="14" t="s">
        <v>92</v>
      </c>
      <c r="M23" s="8">
        <v>0</v>
      </c>
      <c r="N23" s="14" t="s">
        <v>30</v>
      </c>
      <c r="O23" s="9"/>
      <c r="P23" s="14" t="s">
        <v>40</v>
      </c>
      <c r="Q23" s="28"/>
      <c r="R23" s="29" t="s">
        <v>41</v>
      </c>
      <c r="S23" s="27">
        <v>684.95</v>
      </c>
      <c r="T23" s="27">
        <f t="shared" si="3"/>
        <v>63289</v>
      </c>
    </row>
    <row r="24" spans="3:20" ht="105" customHeight="1">
      <c r="C24" s="8"/>
      <c r="D24" s="9" t="s">
        <v>42</v>
      </c>
      <c r="E24" s="10" t="s">
        <v>43</v>
      </c>
      <c r="F24" s="10"/>
      <c r="G24" s="9">
        <v>32</v>
      </c>
      <c r="H24" s="11">
        <f>500*95%</f>
        <v>475</v>
      </c>
      <c r="I24" s="11">
        <f t="shared" si="0"/>
        <v>14.25</v>
      </c>
      <c r="J24" s="11">
        <f t="shared" si="2"/>
        <v>489.25</v>
      </c>
      <c r="K24" s="9">
        <f t="shared" si="1"/>
        <v>15656</v>
      </c>
      <c r="L24" s="9" t="s">
        <v>93</v>
      </c>
      <c r="M24" s="10">
        <v>0</v>
      </c>
      <c r="N24" s="14" t="s">
        <v>30</v>
      </c>
      <c r="O24" s="9"/>
      <c r="P24" s="15"/>
      <c r="Q24" s="30"/>
      <c r="R24" s="31"/>
      <c r="S24" s="27" t="s">
        <v>53</v>
      </c>
      <c r="T24" s="27"/>
    </row>
    <row r="25" spans="3:20" ht="75" customHeight="1">
      <c r="C25" s="8" t="s">
        <v>59</v>
      </c>
      <c r="D25" s="9" t="s">
        <v>27</v>
      </c>
      <c r="E25" s="10" t="s">
        <v>28</v>
      </c>
      <c r="F25" s="10"/>
      <c r="G25" s="9">
        <f>58810+13059</f>
        <v>71869</v>
      </c>
      <c r="H25" s="11">
        <v>0.544</v>
      </c>
      <c r="I25" s="11">
        <f t="shared" si="0"/>
        <v>0.01632</v>
      </c>
      <c r="J25" s="11">
        <f t="shared" si="2"/>
        <v>0.56032</v>
      </c>
      <c r="K25" s="9">
        <f t="shared" si="1"/>
        <v>40270</v>
      </c>
      <c r="L25" s="14" t="s">
        <v>88</v>
      </c>
      <c r="M25" s="10">
        <v>0</v>
      </c>
      <c r="N25" s="14" t="s">
        <v>30</v>
      </c>
      <c r="O25" s="9"/>
      <c r="P25" s="14">
        <v>0.5</v>
      </c>
      <c r="Q25" s="9"/>
      <c r="R25" s="26"/>
      <c r="S25" s="27">
        <f>ROUND(P25*98.5%,2)</f>
        <v>0.49</v>
      </c>
      <c r="T25" s="27">
        <f>ROUND(S25*G25,0)</f>
        <v>35216</v>
      </c>
    </row>
    <row r="26" spans="3:20" ht="96.75" customHeight="1">
      <c r="C26" s="8"/>
      <c r="D26" s="9" t="s">
        <v>31</v>
      </c>
      <c r="E26" s="10" t="s">
        <v>28</v>
      </c>
      <c r="F26" s="10"/>
      <c r="G26" s="9">
        <v>11362.17</v>
      </c>
      <c r="H26" s="11">
        <f>(1.26+0.16)*95%</f>
        <v>1.349</v>
      </c>
      <c r="I26" s="11">
        <f t="shared" si="0"/>
        <v>0.04047</v>
      </c>
      <c r="J26" s="11">
        <f t="shared" si="2"/>
        <v>1.38947</v>
      </c>
      <c r="K26" s="9">
        <f t="shared" si="1"/>
        <v>15787</v>
      </c>
      <c r="L26" s="14" t="s">
        <v>89</v>
      </c>
      <c r="M26" s="10">
        <v>0</v>
      </c>
      <c r="N26" s="14" t="s">
        <v>30</v>
      </c>
      <c r="O26" s="9"/>
      <c r="P26" s="14">
        <v>1.5</v>
      </c>
      <c r="Q26" s="9"/>
      <c r="R26" s="26"/>
      <c r="S26" s="27">
        <f>S32</f>
        <v>397.27</v>
      </c>
      <c r="T26" s="27">
        <f>ROUND(S26*G26,0)</f>
        <v>4513849</v>
      </c>
    </row>
    <row r="27" spans="3:20" ht="177" customHeight="1">
      <c r="C27" s="8"/>
      <c r="D27" s="9" t="s">
        <v>33</v>
      </c>
      <c r="E27" s="10" t="s">
        <v>34</v>
      </c>
      <c r="F27" s="8" t="s">
        <v>35</v>
      </c>
      <c r="G27" s="9">
        <v>333</v>
      </c>
      <c r="H27" s="11">
        <v>378.644</v>
      </c>
      <c r="I27" s="11">
        <f t="shared" si="0"/>
        <v>11.35932</v>
      </c>
      <c r="J27" s="11">
        <f t="shared" si="2"/>
        <v>390.00332000000003</v>
      </c>
      <c r="K27" s="9">
        <f t="shared" si="1"/>
        <v>129871</v>
      </c>
      <c r="L27" s="14" t="s">
        <v>90</v>
      </c>
      <c r="M27" s="8">
        <v>0</v>
      </c>
      <c r="N27" s="14" t="s">
        <v>30</v>
      </c>
      <c r="O27" s="14"/>
      <c r="P27" s="14">
        <v>440</v>
      </c>
      <c r="Q27" s="9"/>
      <c r="R27" s="26"/>
      <c r="S27" s="27">
        <v>356.07</v>
      </c>
      <c r="T27" s="27">
        <f>ROUND(S27*G27,0)</f>
        <v>118571</v>
      </c>
    </row>
    <row r="28" spans="3:20" ht="108.75" customHeight="1">
      <c r="C28" s="8"/>
      <c r="D28" s="9" t="s">
        <v>37</v>
      </c>
      <c r="E28" s="10" t="s">
        <v>34</v>
      </c>
      <c r="F28" s="8" t="s">
        <v>38</v>
      </c>
      <c r="G28" s="9">
        <v>42.3</v>
      </c>
      <c r="H28" s="11">
        <f>700*95%</f>
        <v>665</v>
      </c>
      <c r="I28" s="11">
        <f t="shared" si="0"/>
        <v>19.95</v>
      </c>
      <c r="J28" s="11">
        <f t="shared" si="2"/>
        <v>684.95</v>
      </c>
      <c r="K28" s="9">
        <f t="shared" si="1"/>
        <v>28973</v>
      </c>
      <c r="L28" s="14" t="s">
        <v>92</v>
      </c>
      <c r="M28" s="8">
        <v>0</v>
      </c>
      <c r="N28" s="14" t="s">
        <v>30</v>
      </c>
      <c r="O28" s="9"/>
      <c r="P28" s="14" t="s">
        <v>40</v>
      </c>
      <c r="Q28" s="28"/>
      <c r="R28" s="29"/>
      <c r="S28" s="27">
        <v>684.95</v>
      </c>
      <c r="T28" s="27">
        <f>ROUND(S28*G28,0)</f>
        <v>28973</v>
      </c>
    </row>
    <row r="29" spans="3:20" ht="108.75" customHeight="1">
      <c r="C29" s="8"/>
      <c r="D29" s="9" t="s">
        <v>42</v>
      </c>
      <c r="E29" s="10" t="s">
        <v>43</v>
      </c>
      <c r="F29" s="10"/>
      <c r="G29" s="9">
        <v>12</v>
      </c>
      <c r="H29" s="11">
        <f>500*95%</f>
        <v>475</v>
      </c>
      <c r="I29" s="11">
        <f t="shared" si="0"/>
        <v>14.25</v>
      </c>
      <c r="J29" s="11">
        <f t="shared" si="2"/>
        <v>489.25</v>
      </c>
      <c r="K29" s="9">
        <f t="shared" si="1"/>
        <v>5871</v>
      </c>
      <c r="L29" s="9" t="s">
        <v>93</v>
      </c>
      <c r="M29" s="10">
        <v>0</v>
      </c>
      <c r="N29" s="14" t="s">
        <v>30</v>
      </c>
      <c r="O29" s="9"/>
      <c r="P29" s="15"/>
      <c r="Q29" s="30"/>
      <c r="R29" s="31"/>
      <c r="S29" s="27" t="s">
        <v>53</v>
      </c>
      <c r="T29" s="27"/>
    </row>
    <row r="30" spans="3:20" ht="81.75" customHeight="1">
      <c r="C30" s="8" t="s">
        <v>60</v>
      </c>
      <c r="D30" s="9" t="s">
        <v>27</v>
      </c>
      <c r="E30" s="10" t="s">
        <v>28</v>
      </c>
      <c r="F30" s="10"/>
      <c r="G30" s="9">
        <f>253217+56805</f>
        <v>310022</v>
      </c>
      <c r="H30" s="11">
        <v>0.544</v>
      </c>
      <c r="I30" s="11">
        <f t="shared" si="0"/>
        <v>0.01632</v>
      </c>
      <c r="J30" s="11">
        <f t="shared" si="2"/>
        <v>0.56032</v>
      </c>
      <c r="K30" s="9">
        <f t="shared" si="1"/>
        <v>173712</v>
      </c>
      <c r="L30" s="14" t="s">
        <v>88</v>
      </c>
      <c r="M30" s="10">
        <v>0</v>
      </c>
      <c r="N30" s="14" t="s">
        <v>30</v>
      </c>
      <c r="O30" s="9"/>
      <c r="P30" s="14">
        <v>0.5</v>
      </c>
      <c r="Q30" s="9">
        <v>0.6</v>
      </c>
      <c r="R30" s="26">
        <v>0.54</v>
      </c>
      <c r="S30" s="27">
        <f>ROUND(P30*98.5%,2)</f>
        <v>0.49</v>
      </c>
      <c r="T30" s="27">
        <f>ROUND(S30*G30,0)</f>
        <v>151911</v>
      </c>
    </row>
    <row r="31" spans="3:20" ht="94.5" customHeight="1">
      <c r="C31" s="8"/>
      <c r="D31" s="9" t="s">
        <v>31</v>
      </c>
      <c r="E31" s="10" t="s">
        <v>28</v>
      </c>
      <c r="F31" s="10"/>
      <c r="G31" s="9">
        <v>49236.07</v>
      </c>
      <c r="H31" s="11">
        <f>(1.26+0.16)*95%</f>
        <v>1.349</v>
      </c>
      <c r="I31" s="11">
        <f t="shared" si="0"/>
        <v>0.04047</v>
      </c>
      <c r="J31" s="11">
        <f t="shared" si="2"/>
        <v>1.38947</v>
      </c>
      <c r="K31" s="9">
        <f t="shared" si="1"/>
        <v>68412</v>
      </c>
      <c r="L31" s="14" t="s">
        <v>89</v>
      </c>
      <c r="M31" s="10">
        <v>0</v>
      </c>
      <c r="N31" s="14" t="s">
        <v>30</v>
      </c>
      <c r="O31" s="9"/>
      <c r="P31" s="14">
        <v>1.5</v>
      </c>
      <c r="Q31" s="9">
        <v>1.2</v>
      </c>
      <c r="R31" s="26">
        <v>1.4</v>
      </c>
      <c r="S31" s="27">
        <f>ROUND(R31*98.5%,2)</f>
        <v>1.38</v>
      </c>
      <c r="T31" s="27">
        <f>ROUND(S31*G31,0)</f>
        <v>67946</v>
      </c>
    </row>
    <row r="32" spans="3:20" ht="183" customHeight="1">
      <c r="C32" s="8"/>
      <c r="D32" s="9" t="s">
        <v>33</v>
      </c>
      <c r="E32" s="10" t="s">
        <v>34</v>
      </c>
      <c r="F32" s="8" t="s">
        <v>35</v>
      </c>
      <c r="G32" s="9">
        <v>1442.9</v>
      </c>
      <c r="H32" s="11">
        <v>378.644</v>
      </c>
      <c r="I32" s="11">
        <f t="shared" si="0"/>
        <v>11.35932</v>
      </c>
      <c r="J32" s="11">
        <f t="shared" si="2"/>
        <v>390.00332000000003</v>
      </c>
      <c r="K32" s="9">
        <f t="shared" si="1"/>
        <v>562736</v>
      </c>
      <c r="L32" s="14" t="s">
        <v>90</v>
      </c>
      <c r="M32" s="8">
        <v>0</v>
      </c>
      <c r="N32" s="14" t="s">
        <v>30</v>
      </c>
      <c r="O32" s="14"/>
      <c r="P32" s="14">
        <v>440</v>
      </c>
      <c r="Q32" s="9">
        <v>490</v>
      </c>
      <c r="R32" s="26">
        <v>440</v>
      </c>
      <c r="S32" s="27">
        <v>397.27</v>
      </c>
      <c r="T32" s="27">
        <f>ROUND(S32*G32,0)</f>
        <v>573221</v>
      </c>
    </row>
    <row r="33" spans="3:20" ht="100.5" customHeight="1">
      <c r="C33" s="8"/>
      <c r="D33" s="9" t="s">
        <v>37</v>
      </c>
      <c r="E33" s="10" t="s">
        <v>34</v>
      </c>
      <c r="F33" s="8" t="s">
        <v>38</v>
      </c>
      <c r="G33" s="9">
        <v>183.3</v>
      </c>
      <c r="H33" s="11">
        <f>700*95%</f>
        <v>665</v>
      </c>
      <c r="I33" s="11">
        <f t="shared" si="0"/>
        <v>19.95</v>
      </c>
      <c r="J33" s="11">
        <f t="shared" si="2"/>
        <v>684.95</v>
      </c>
      <c r="K33" s="9">
        <f t="shared" si="1"/>
        <v>125551</v>
      </c>
      <c r="L33" s="14" t="s">
        <v>92</v>
      </c>
      <c r="M33" s="8">
        <v>0</v>
      </c>
      <c r="N33" s="14" t="s">
        <v>30</v>
      </c>
      <c r="O33" s="9"/>
      <c r="P33" s="14" t="s">
        <v>40</v>
      </c>
      <c r="Q33" s="28"/>
      <c r="R33" s="29" t="s">
        <v>41</v>
      </c>
      <c r="S33" s="27">
        <v>684.95</v>
      </c>
      <c r="T33" s="27">
        <f>ROUND(S33*G33,0)</f>
        <v>125551</v>
      </c>
    </row>
    <row r="34" spans="3:20" ht="100.5" customHeight="1">
      <c r="C34" s="8"/>
      <c r="D34" s="9" t="s">
        <v>42</v>
      </c>
      <c r="E34" s="10" t="s">
        <v>43</v>
      </c>
      <c r="F34" s="10"/>
      <c r="G34" s="9">
        <v>52</v>
      </c>
      <c r="H34" s="11">
        <f>500*95%</f>
        <v>475</v>
      </c>
      <c r="I34" s="11">
        <f t="shared" si="0"/>
        <v>14.25</v>
      </c>
      <c r="J34" s="11">
        <f t="shared" si="2"/>
        <v>489.25</v>
      </c>
      <c r="K34" s="9">
        <f t="shared" si="1"/>
        <v>25441</v>
      </c>
      <c r="L34" s="9" t="s">
        <v>93</v>
      </c>
      <c r="M34" s="10">
        <v>0</v>
      </c>
      <c r="N34" s="14" t="s">
        <v>30</v>
      </c>
      <c r="O34" s="9"/>
      <c r="P34" s="15"/>
      <c r="Q34" s="30"/>
      <c r="R34" s="31"/>
      <c r="S34" s="27" t="s">
        <v>53</v>
      </c>
      <c r="T34" s="27"/>
    </row>
    <row r="35" spans="3:20" ht="103.5" customHeight="1">
      <c r="C35" s="8" t="s">
        <v>61</v>
      </c>
      <c r="D35" s="9" t="s">
        <v>27</v>
      </c>
      <c r="E35" s="10" t="s">
        <v>28</v>
      </c>
      <c r="F35" s="10"/>
      <c r="G35" s="9">
        <f>357347+80445</f>
        <v>437792</v>
      </c>
      <c r="H35" s="11">
        <v>0.544</v>
      </c>
      <c r="I35" s="11">
        <f t="shared" si="0"/>
        <v>0.01632</v>
      </c>
      <c r="J35" s="11">
        <f t="shared" si="2"/>
        <v>0.56032</v>
      </c>
      <c r="K35" s="9">
        <f t="shared" si="1"/>
        <v>245304</v>
      </c>
      <c r="L35" s="14" t="s">
        <v>88</v>
      </c>
      <c r="M35" s="8">
        <v>0</v>
      </c>
      <c r="N35" s="14" t="s">
        <v>30</v>
      </c>
      <c r="O35" s="9"/>
      <c r="P35" s="14">
        <v>0.5</v>
      </c>
      <c r="Q35" s="9">
        <v>0.6</v>
      </c>
      <c r="R35" s="26">
        <v>0.54</v>
      </c>
      <c r="S35" s="27">
        <f>ROUND(P35*98.5%,2)</f>
        <v>0.49</v>
      </c>
      <c r="T35" s="27">
        <f>ROUND(S35*G35,0)</f>
        <v>214518</v>
      </c>
    </row>
    <row r="36" spans="3:20" ht="109.5" customHeight="1">
      <c r="C36" s="8"/>
      <c r="D36" s="9" t="s">
        <v>31</v>
      </c>
      <c r="E36" s="10" t="s">
        <v>28</v>
      </c>
      <c r="F36" s="10"/>
      <c r="G36" s="9">
        <v>69535.18</v>
      </c>
      <c r="H36" s="11">
        <f>(1.26+0.16)*95%</f>
        <v>1.349</v>
      </c>
      <c r="I36" s="11">
        <f t="shared" si="0"/>
        <v>0.04047</v>
      </c>
      <c r="J36" s="11">
        <f t="shared" si="2"/>
        <v>1.38947</v>
      </c>
      <c r="K36" s="9">
        <f t="shared" si="1"/>
        <v>96617</v>
      </c>
      <c r="L36" s="14" t="s">
        <v>89</v>
      </c>
      <c r="M36" s="10">
        <v>0</v>
      </c>
      <c r="N36" s="14" t="s">
        <v>30</v>
      </c>
      <c r="O36" s="9"/>
      <c r="P36" s="14">
        <v>1.5</v>
      </c>
      <c r="Q36" s="9">
        <v>1.2</v>
      </c>
      <c r="R36" s="26">
        <v>1.4</v>
      </c>
      <c r="S36" s="27">
        <f>ROUND(R36*98.5%,2)</f>
        <v>1.38</v>
      </c>
      <c r="T36" s="27">
        <f>ROUND(S36*G36,0)</f>
        <v>95959</v>
      </c>
    </row>
    <row r="37" spans="3:20" ht="171.75" customHeight="1">
      <c r="C37" s="8"/>
      <c r="D37" s="9" t="s">
        <v>33</v>
      </c>
      <c r="E37" s="10" t="s">
        <v>34</v>
      </c>
      <c r="F37" s="8" t="s">
        <v>35</v>
      </c>
      <c r="G37" s="9">
        <v>2042</v>
      </c>
      <c r="H37" s="11">
        <v>378.644</v>
      </c>
      <c r="I37" s="11">
        <f t="shared" si="0"/>
        <v>11.35932</v>
      </c>
      <c r="J37" s="11">
        <f t="shared" si="2"/>
        <v>390.00332000000003</v>
      </c>
      <c r="K37" s="9">
        <f t="shared" si="1"/>
        <v>796387</v>
      </c>
      <c r="L37" s="14" t="s">
        <v>90</v>
      </c>
      <c r="M37" s="8">
        <v>0</v>
      </c>
      <c r="N37" s="14" t="s">
        <v>30</v>
      </c>
      <c r="O37" s="14"/>
      <c r="P37" s="14">
        <v>440</v>
      </c>
      <c r="Q37" s="9">
        <v>490</v>
      </c>
      <c r="R37" s="26">
        <v>440</v>
      </c>
      <c r="S37" s="27">
        <v>397.27</v>
      </c>
      <c r="T37" s="27">
        <f>ROUND(S37*G37,0)</f>
        <v>811225</v>
      </c>
    </row>
    <row r="38" spans="3:20" ht="87" customHeight="1">
      <c r="C38" s="8"/>
      <c r="D38" s="9" t="s">
        <v>37</v>
      </c>
      <c r="E38" s="10" t="s">
        <v>34</v>
      </c>
      <c r="F38" s="8" t="s">
        <v>38</v>
      </c>
      <c r="G38" s="9">
        <v>264.3</v>
      </c>
      <c r="H38" s="11">
        <f>700*95%</f>
        <v>665</v>
      </c>
      <c r="I38" s="11">
        <f t="shared" si="0"/>
        <v>19.95</v>
      </c>
      <c r="J38" s="11">
        <f aca="true" t="shared" si="4" ref="J38:J54">I38+H38</f>
        <v>684.95</v>
      </c>
      <c r="K38" s="9">
        <f t="shared" si="1"/>
        <v>181032</v>
      </c>
      <c r="L38" s="14" t="s">
        <v>92</v>
      </c>
      <c r="M38" s="8">
        <v>0</v>
      </c>
      <c r="N38" s="14" t="s">
        <v>30</v>
      </c>
      <c r="O38" s="9"/>
      <c r="P38" s="14" t="s">
        <v>40</v>
      </c>
      <c r="Q38" s="28"/>
      <c r="R38" s="29" t="s">
        <v>41</v>
      </c>
      <c r="S38" s="27">
        <v>684.95</v>
      </c>
      <c r="T38" s="27">
        <f>ROUND(S38*G38,0)</f>
        <v>181032</v>
      </c>
    </row>
    <row r="39" spans="3:20" ht="87" customHeight="1">
      <c r="C39" s="8"/>
      <c r="D39" s="9" t="s">
        <v>42</v>
      </c>
      <c r="E39" s="10" t="s">
        <v>43</v>
      </c>
      <c r="F39" s="10"/>
      <c r="G39" s="9">
        <v>68</v>
      </c>
      <c r="H39" s="11">
        <f>500*95%</f>
        <v>475</v>
      </c>
      <c r="I39" s="11">
        <f t="shared" si="0"/>
        <v>14.25</v>
      </c>
      <c r="J39" s="11">
        <f t="shared" si="4"/>
        <v>489.25</v>
      </c>
      <c r="K39" s="9">
        <f t="shared" si="1"/>
        <v>33269</v>
      </c>
      <c r="L39" s="9" t="s">
        <v>93</v>
      </c>
      <c r="M39" s="10">
        <v>0</v>
      </c>
      <c r="N39" s="14" t="s">
        <v>30</v>
      </c>
      <c r="O39" s="9"/>
      <c r="P39" s="15"/>
      <c r="Q39" s="30"/>
      <c r="R39" s="31"/>
      <c r="S39" s="27" t="s">
        <v>53</v>
      </c>
      <c r="T39" s="27"/>
    </row>
    <row r="40" spans="3:20" ht="84" customHeight="1">
      <c r="C40" s="8" t="s">
        <v>62</v>
      </c>
      <c r="D40" s="9" t="s">
        <v>27</v>
      </c>
      <c r="E40" s="10" t="s">
        <v>28</v>
      </c>
      <c r="F40" s="10"/>
      <c r="G40" s="9">
        <f>137086+30726</f>
        <v>167812</v>
      </c>
      <c r="H40" s="11">
        <v>0.544</v>
      </c>
      <c r="I40" s="11">
        <f t="shared" si="0"/>
        <v>0.01632</v>
      </c>
      <c r="J40" s="11">
        <f t="shared" si="4"/>
        <v>0.56032</v>
      </c>
      <c r="K40" s="9">
        <f t="shared" si="1"/>
        <v>94028</v>
      </c>
      <c r="L40" s="14" t="s">
        <v>88</v>
      </c>
      <c r="M40" s="8">
        <v>0</v>
      </c>
      <c r="N40" s="14" t="s">
        <v>30</v>
      </c>
      <c r="O40" s="9"/>
      <c r="P40" s="14">
        <v>0.5</v>
      </c>
      <c r="Q40" s="9"/>
      <c r="R40" s="26"/>
      <c r="S40" s="27">
        <f>ROUND(P40*98.5%,2)</f>
        <v>0.49</v>
      </c>
      <c r="T40" s="27">
        <f>ROUND(S40*G40,0)</f>
        <v>82228</v>
      </c>
    </row>
    <row r="41" spans="3:20" ht="100.5" customHeight="1">
      <c r="C41" s="8"/>
      <c r="D41" s="9" t="s">
        <v>31</v>
      </c>
      <c r="E41" s="10" t="s">
        <v>28</v>
      </c>
      <c r="F41" s="10"/>
      <c r="G41" s="9">
        <v>26511.73</v>
      </c>
      <c r="H41" s="11">
        <f>(1.26+0.16)*95%</f>
        <v>1.349</v>
      </c>
      <c r="I41" s="11">
        <f t="shared" si="0"/>
        <v>0.04047</v>
      </c>
      <c r="J41" s="11">
        <f t="shared" si="4"/>
        <v>1.38947</v>
      </c>
      <c r="K41" s="9">
        <f t="shared" si="1"/>
        <v>36837</v>
      </c>
      <c r="L41" s="14" t="s">
        <v>89</v>
      </c>
      <c r="M41" s="10">
        <v>0</v>
      </c>
      <c r="N41" s="14" t="s">
        <v>30</v>
      </c>
      <c r="O41" s="9"/>
      <c r="P41" s="14">
        <v>1.5</v>
      </c>
      <c r="Q41" s="9"/>
      <c r="R41" s="26">
        <v>1.4</v>
      </c>
      <c r="S41" s="27">
        <f>ROUND(R41*98.5%,2)</f>
        <v>1.38</v>
      </c>
      <c r="T41" s="27">
        <f>ROUND(S41*G41,0)</f>
        <v>36586</v>
      </c>
    </row>
    <row r="42" spans="3:20" ht="198.75" customHeight="1">
      <c r="C42" s="8"/>
      <c r="D42" s="9" t="s">
        <v>33</v>
      </c>
      <c r="E42" s="10" t="s">
        <v>34</v>
      </c>
      <c r="F42" s="8" t="s">
        <v>35</v>
      </c>
      <c r="G42" s="9">
        <v>776.9</v>
      </c>
      <c r="H42" s="11">
        <v>378.644</v>
      </c>
      <c r="I42" s="11">
        <f t="shared" si="0"/>
        <v>11.35932</v>
      </c>
      <c r="J42" s="11">
        <f t="shared" si="4"/>
        <v>390.00332000000003</v>
      </c>
      <c r="K42" s="9">
        <f t="shared" si="1"/>
        <v>302994</v>
      </c>
      <c r="L42" s="14" t="s">
        <v>90</v>
      </c>
      <c r="M42" s="8">
        <v>0</v>
      </c>
      <c r="N42" s="14" t="s">
        <v>30</v>
      </c>
      <c r="O42" s="14"/>
      <c r="P42" s="14">
        <v>440</v>
      </c>
      <c r="Q42" s="9"/>
      <c r="R42" s="26">
        <v>440</v>
      </c>
      <c r="S42" s="27">
        <v>356.07</v>
      </c>
      <c r="T42" s="27">
        <f>ROUND(S42*G42,0)</f>
        <v>276631</v>
      </c>
    </row>
    <row r="43" spans="3:20" ht="96" customHeight="1">
      <c r="C43" s="8"/>
      <c r="D43" s="9" t="s">
        <v>37</v>
      </c>
      <c r="E43" s="10" t="s">
        <v>34</v>
      </c>
      <c r="F43" s="8" t="s">
        <v>38</v>
      </c>
      <c r="G43" s="9">
        <v>98.7</v>
      </c>
      <c r="H43" s="11">
        <f>700*95%</f>
        <v>665</v>
      </c>
      <c r="I43" s="11">
        <f t="shared" si="0"/>
        <v>19.95</v>
      </c>
      <c r="J43" s="11">
        <f t="shared" si="4"/>
        <v>684.95</v>
      </c>
      <c r="K43" s="9">
        <f t="shared" si="1"/>
        <v>67605</v>
      </c>
      <c r="L43" s="14" t="s">
        <v>92</v>
      </c>
      <c r="M43" s="8">
        <v>0</v>
      </c>
      <c r="N43" s="14" t="s">
        <v>30</v>
      </c>
      <c r="O43" s="9"/>
      <c r="P43" s="14" t="s">
        <v>40</v>
      </c>
      <c r="Q43" s="28"/>
      <c r="R43" s="29" t="s">
        <v>41</v>
      </c>
      <c r="S43" s="27">
        <v>684.95</v>
      </c>
      <c r="T43" s="27">
        <f>ROUND(S43*G43,0)</f>
        <v>67605</v>
      </c>
    </row>
    <row r="44" spans="3:20" ht="100.5" customHeight="1">
      <c r="C44" s="8"/>
      <c r="D44" s="9" t="s">
        <v>42</v>
      </c>
      <c r="E44" s="10" t="s">
        <v>43</v>
      </c>
      <c r="F44" s="10"/>
      <c r="G44" s="9">
        <v>28</v>
      </c>
      <c r="H44" s="11">
        <f>500*95%</f>
        <v>475</v>
      </c>
      <c r="I44" s="11">
        <f t="shared" si="0"/>
        <v>14.25</v>
      </c>
      <c r="J44" s="11">
        <f t="shared" si="4"/>
        <v>489.25</v>
      </c>
      <c r="K44" s="9">
        <f t="shared" si="1"/>
        <v>13699</v>
      </c>
      <c r="L44" s="9" t="s">
        <v>93</v>
      </c>
      <c r="M44" s="10">
        <v>0</v>
      </c>
      <c r="N44" s="14" t="s">
        <v>30</v>
      </c>
      <c r="O44" s="9"/>
      <c r="P44" s="15"/>
      <c r="Q44" s="30"/>
      <c r="R44" s="31"/>
      <c r="S44" s="27" t="s">
        <v>53</v>
      </c>
      <c r="T44" s="27"/>
    </row>
    <row r="45" spans="3:20" ht="99" customHeight="1">
      <c r="C45" s="8" t="s">
        <v>63</v>
      </c>
      <c r="D45" s="9" t="s">
        <v>27</v>
      </c>
      <c r="E45" s="10" t="s">
        <v>28</v>
      </c>
      <c r="F45" s="10"/>
      <c r="G45" s="9">
        <f>78506+17531</f>
        <v>96037</v>
      </c>
      <c r="H45" s="11">
        <v>0.544</v>
      </c>
      <c r="I45" s="11">
        <f t="shared" si="0"/>
        <v>0.01632</v>
      </c>
      <c r="J45" s="11">
        <f t="shared" si="4"/>
        <v>0.56032</v>
      </c>
      <c r="K45" s="9">
        <f t="shared" si="1"/>
        <v>53811</v>
      </c>
      <c r="L45" s="14" t="s">
        <v>88</v>
      </c>
      <c r="M45" s="10">
        <v>0</v>
      </c>
      <c r="N45" s="14" t="s">
        <v>30</v>
      </c>
      <c r="O45" s="9"/>
      <c r="P45" s="14">
        <v>0.5</v>
      </c>
      <c r="Q45" s="9">
        <v>0.6</v>
      </c>
      <c r="R45" s="26">
        <v>0.54</v>
      </c>
      <c r="S45" s="27">
        <f>ROUND(P45*98.5%,2)</f>
        <v>0.49</v>
      </c>
      <c r="T45" s="27">
        <f>ROUND(S45*G45,0)</f>
        <v>47058</v>
      </c>
    </row>
    <row r="46" spans="3:20" ht="99" customHeight="1">
      <c r="C46" s="8"/>
      <c r="D46" s="9" t="s">
        <v>31</v>
      </c>
      <c r="E46" s="10" t="s">
        <v>28</v>
      </c>
      <c r="F46" s="10"/>
      <c r="G46" s="9">
        <v>30261.35</v>
      </c>
      <c r="H46" s="11">
        <f>(1.26+0.16)*95%</f>
        <v>1.349</v>
      </c>
      <c r="I46" s="11">
        <f t="shared" si="0"/>
        <v>0.04047</v>
      </c>
      <c r="J46" s="11">
        <f t="shared" si="4"/>
        <v>1.38947</v>
      </c>
      <c r="K46" s="9">
        <f t="shared" si="1"/>
        <v>42047</v>
      </c>
      <c r="L46" s="14" t="s">
        <v>89</v>
      </c>
      <c r="M46" s="10">
        <v>0</v>
      </c>
      <c r="N46" s="14" t="s">
        <v>30</v>
      </c>
      <c r="O46" s="9"/>
      <c r="P46" s="14">
        <v>1.5</v>
      </c>
      <c r="Q46" s="9">
        <v>1.2</v>
      </c>
      <c r="R46" s="26">
        <v>1.4</v>
      </c>
      <c r="S46" s="27">
        <f>ROUND(R46*98.5%,2)</f>
        <v>1.38</v>
      </c>
      <c r="T46" s="27">
        <f>ROUND(S46*G46,0)</f>
        <v>41761</v>
      </c>
    </row>
    <row r="47" spans="3:20" ht="183" customHeight="1">
      <c r="C47" s="8"/>
      <c r="D47" s="9" t="s">
        <v>33</v>
      </c>
      <c r="E47" s="10" t="s">
        <v>34</v>
      </c>
      <c r="F47" s="8" t="s">
        <v>35</v>
      </c>
      <c r="G47" s="9">
        <v>444</v>
      </c>
      <c r="H47" s="11">
        <v>378.644</v>
      </c>
      <c r="I47" s="11">
        <f t="shared" si="0"/>
        <v>11.35932</v>
      </c>
      <c r="J47" s="11">
        <f t="shared" si="4"/>
        <v>390.00332000000003</v>
      </c>
      <c r="K47" s="9">
        <f t="shared" si="1"/>
        <v>173161</v>
      </c>
      <c r="L47" s="14" t="s">
        <v>90</v>
      </c>
      <c r="M47" s="8">
        <v>0</v>
      </c>
      <c r="N47" s="14" t="s">
        <v>30</v>
      </c>
      <c r="O47" s="14"/>
      <c r="P47" s="14">
        <v>440</v>
      </c>
      <c r="Q47" s="9">
        <v>490</v>
      </c>
      <c r="R47" s="26">
        <v>440</v>
      </c>
      <c r="S47" s="27">
        <v>356.07</v>
      </c>
      <c r="T47" s="27">
        <f>ROUND(S47*G47,0)</f>
        <v>158095</v>
      </c>
    </row>
    <row r="48" spans="3:20" ht="96" customHeight="1">
      <c r="C48" s="8"/>
      <c r="D48" s="9" t="s">
        <v>37</v>
      </c>
      <c r="E48" s="10" t="s">
        <v>34</v>
      </c>
      <c r="F48" s="8" t="s">
        <v>38</v>
      </c>
      <c r="G48" s="9">
        <v>56.4</v>
      </c>
      <c r="H48" s="11">
        <f>700*95%</f>
        <v>665</v>
      </c>
      <c r="I48" s="11">
        <f t="shared" si="0"/>
        <v>19.95</v>
      </c>
      <c r="J48" s="11">
        <f t="shared" si="4"/>
        <v>684.95</v>
      </c>
      <c r="K48" s="9">
        <f t="shared" si="1"/>
        <v>38631</v>
      </c>
      <c r="L48" s="14" t="s">
        <v>92</v>
      </c>
      <c r="M48" s="8">
        <v>0</v>
      </c>
      <c r="N48" s="14" t="s">
        <v>30</v>
      </c>
      <c r="O48" s="9"/>
      <c r="P48" s="14" t="s">
        <v>40</v>
      </c>
      <c r="Q48" s="28"/>
      <c r="R48" s="29" t="s">
        <v>41</v>
      </c>
      <c r="S48" s="27">
        <v>684.95</v>
      </c>
      <c r="T48" s="27">
        <f>ROUND(S48*G48,0)</f>
        <v>38631</v>
      </c>
    </row>
    <row r="49" spans="3:20" ht="96" customHeight="1">
      <c r="C49" s="8"/>
      <c r="D49" s="9" t="s">
        <v>42</v>
      </c>
      <c r="E49" s="10" t="s">
        <v>43</v>
      </c>
      <c r="F49" s="10"/>
      <c r="G49" s="9">
        <v>16</v>
      </c>
      <c r="H49" s="11">
        <f>500*95%</f>
        <v>475</v>
      </c>
      <c r="I49" s="11">
        <f t="shared" si="0"/>
        <v>14.25</v>
      </c>
      <c r="J49" s="11">
        <f t="shared" si="4"/>
        <v>489.25</v>
      </c>
      <c r="K49" s="9">
        <f t="shared" si="1"/>
        <v>7828</v>
      </c>
      <c r="L49" s="9" t="s">
        <v>93</v>
      </c>
      <c r="M49" s="10">
        <v>0</v>
      </c>
      <c r="N49" s="14" t="s">
        <v>30</v>
      </c>
      <c r="O49" s="9"/>
      <c r="P49" s="15"/>
      <c r="Q49" s="30"/>
      <c r="R49" s="31"/>
      <c r="S49" s="27" t="s">
        <v>53</v>
      </c>
      <c r="T49" s="27"/>
    </row>
    <row r="50" spans="3:20" ht="94.5" customHeight="1">
      <c r="C50" s="8" t="s">
        <v>64</v>
      </c>
      <c r="D50" s="9" t="s">
        <v>27</v>
      </c>
      <c r="E50" s="10" t="s">
        <v>28</v>
      </c>
      <c r="F50" s="10"/>
      <c r="G50" s="9">
        <f>78597+17561</f>
        <v>96158</v>
      </c>
      <c r="H50" s="11">
        <v>0.544</v>
      </c>
      <c r="I50" s="11">
        <f t="shared" si="0"/>
        <v>0.01632</v>
      </c>
      <c r="J50" s="11">
        <f t="shared" si="4"/>
        <v>0.56032</v>
      </c>
      <c r="K50" s="9">
        <f t="shared" si="1"/>
        <v>53879</v>
      </c>
      <c r="L50" s="14" t="s">
        <v>88</v>
      </c>
      <c r="M50" s="10">
        <v>0</v>
      </c>
      <c r="N50" s="14" t="s">
        <v>30</v>
      </c>
      <c r="O50" s="9"/>
      <c r="P50" s="14">
        <v>0.5</v>
      </c>
      <c r="Q50" s="9">
        <v>0.6</v>
      </c>
      <c r="R50" s="26">
        <v>0.54</v>
      </c>
      <c r="S50" s="27">
        <f>ROUND(P50*98.5%,2)</f>
        <v>0.49</v>
      </c>
      <c r="T50" s="27">
        <f>ROUND(S50*G50,0)</f>
        <v>47117</v>
      </c>
    </row>
    <row r="51" spans="3:20" ht="97.5" customHeight="1">
      <c r="C51" s="8"/>
      <c r="D51" s="9" t="s">
        <v>31</v>
      </c>
      <c r="E51" s="10" t="s">
        <v>28</v>
      </c>
      <c r="F51" s="10"/>
      <c r="G51" s="9">
        <v>15149.56</v>
      </c>
      <c r="H51" s="11">
        <f>(1.26+0.16)*95%</f>
        <v>1.349</v>
      </c>
      <c r="I51" s="11">
        <f t="shared" si="0"/>
        <v>0.04047</v>
      </c>
      <c r="J51" s="11">
        <f t="shared" si="4"/>
        <v>1.38947</v>
      </c>
      <c r="K51" s="9">
        <f t="shared" si="1"/>
        <v>21050</v>
      </c>
      <c r="L51" s="14" t="s">
        <v>89</v>
      </c>
      <c r="M51" s="10">
        <v>0</v>
      </c>
      <c r="N51" s="14" t="s">
        <v>30</v>
      </c>
      <c r="O51" s="9"/>
      <c r="P51" s="14">
        <v>1.5</v>
      </c>
      <c r="Q51" s="9">
        <v>1.2</v>
      </c>
      <c r="R51" s="26">
        <v>1.4</v>
      </c>
      <c r="S51" s="27">
        <f>ROUND(R51*98.5%,2)</f>
        <v>1.38</v>
      </c>
      <c r="T51" s="27">
        <f>ROUND(S51*G51,0)</f>
        <v>20906</v>
      </c>
    </row>
    <row r="52" spans="3:20" ht="168" customHeight="1">
      <c r="C52" s="8"/>
      <c r="D52" s="9" t="s">
        <v>33</v>
      </c>
      <c r="E52" s="10" t="s">
        <v>34</v>
      </c>
      <c r="F52" s="8" t="s">
        <v>35</v>
      </c>
      <c r="G52" s="9">
        <v>444</v>
      </c>
      <c r="H52" s="11">
        <v>378.644</v>
      </c>
      <c r="I52" s="11">
        <f t="shared" si="0"/>
        <v>11.35932</v>
      </c>
      <c r="J52" s="11">
        <f t="shared" si="4"/>
        <v>390.00332000000003</v>
      </c>
      <c r="K52" s="9">
        <f t="shared" si="1"/>
        <v>173161</v>
      </c>
      <c r="L52" s="14" t="s">
        <v>90</v>
      </c>
      <c r="M52" s="8">
        <v>0</v>
      </c>
      <c r="N52" s="14" t="s">
        <v>30</v>
      </c>
      <c r="O52" s="14"/>
      <c r="P52" s="14">
        <v>440</v>
      </c>
      <c r="Q52" s="9">
        <v>490</v>
      </c>
      <c r="R52" s="26">
        <v>440</v>
      </c>
      <c r="S52" s="27">
        <v>356.07</v>
      </c>
      <c r="T52" s="27">
        <f>ROUND(S52*G52,0)</f>
        <v>158095</v>
      </c>
    </row>
    <row r="53" spans="3:20" ht="72" customHeight="1">
      <c r="C53" s="8"/>
      <c r="D53" s="9" t="s">
        <v>37</v>
      </c>
      <c r="E53" s="10" t="s">
        <v>34</v>
      </c>
      <c r="F53" s="8" t="s">
        <v>38</v>
      </c>
      <c r="G53" s="9">
        <v>56.4</v>
      </c>
      <c r="H53" s="11">
        <f>700*95%</f>
        <v>665</v>
      </c>
      <c r="I53" s="11">
        <f t="shared" si="0"/>
        <v>19.95</v>
      </c>
      <c r="J53" s="11">
        <f t="shared" si="4"/>
        <v>684.95</v>
      </c>
      <c r="K53" s="9">
        <f t="shared" si="1"/>
        <v>38631</v>
      </c>
      <c r="L53" s="14" t="s">
        <v>92</v>
      </c>
      <c r="M53" s="8">
        <v>0</v>
      </c>
      <c r="N53" s="14" t="s">
        <v>30</v>
      </c>
      <c r="O53" s="9"/>
      <c r="P53" s="14" t="s">
        <v>40</v>
      </c>
      <c r="Q53" s="28"/>
      <c r="R53" s="29" t="s">
        <v>41</v>
      </c>
      <c r="S53" s="27">
        <v>684.95</v>
      </c>
      <c r="T53" s="27">
        <f>ROUND(S53*G53,0)</f>
        <v>38631</v>
      </c>
    </row>
    <row r="54" spans="3:20" ht="63.75" customHeight="1">
      <c r="C54" s="8"/>
      <c r="D54" s="9" t="s">
        <v>42</v>
      </c>
      <c r="E54" s="10" t="s">
        <v>46</v>
      </c>
      <c r="F54" s="10"/>
      <c r="G54" s="9">
        <v>16</v>
      </c>
      <c r="H54" s="11">
        <f>50*95%</f>
        <v>47.5</v>
      </c>
      <c r="I54" s="11">
        <f t="shared" si="0"/>
        <v>1.425</v>
      </c>
      <c r="J54" s="11">
        <f t="shared" si="4"/>
        <v>48.925</v>
      </c>
      <c r="K54" s="9">
        <f t="shared" si="1"/>
        <v>783</v>
      </c>
      <c r="L54" s="9" t="s">
        <v>93</v>
      </c>
      <c r="M54" s="10">
        <v>0</v>
      </c>
      <c r="N54" s="14" t="s">
        <v>30</v>
      </c>
      <c r="O54" s="9"/>
      <c r="P54" s="15"/>
      <c r="Q54" s="30"/>
      <c r="R54" s="31"/>
      <c r="S54" s="27" t="s">
        <v>53</v>
      </c>
      <c r="T54" s="27"/>
    </row>
    <row r="55" spans="3:20" ht="39" customHeight="1">
      <c r="C55" s="8" t="s">
        <v>94</v>
      </c>
      <c r="D55" s="8"/>
      <c r="E55" s="8"/>
      <c r="F55" s="10"/>
      <c r="G55" s="9"/>
      <c r="H55" s="11">
        <v>30160279.16</v>
      </c>
      <c r="I55" s="11">
        <f>H55*0.03</f>
        <v>904808.3748</v>
      </c>
      <c r="J55" s="11">
        <v>465976.29</v>
      </c>
      <c r="K55" s="16">
        <v>465976.29</v>
      </c>
      <c r="L55" s="9" t="s">
        <v>95</v>
      </c>
      <c r="M55" s="10"/>
      <c r="N55" s="14" t="s">
        <v>96</v>
      </c>
      <c r="O55" s="9"/>
      <c r="P55" s="14"/>
      <c r="Q55" s="9"/>
      <c r="R55" s="26"/>
      <c r="S55" s="27"/>
      <c r="T55" s="32">
        <f>SUM(T5:T54)*0.015</f>
        <v>487849.94999999995</v>
      </c>
    </row>
    <row r="56" spans="3:20" ht="39" customHeight="1">
      <c r="C56" s="10" t="s">
        <v>71</v>
      </c>
      <c r="D56" s="10"/>
      <c r="E56" s="10"/>
      <c r="F56" s="9"/>
      <c r="G56" s="9"/>
      <c r="H56" s="9"/>
      <c r="I56" s="9"/>
      <c r="J56" s="9"/>
      <c r="K56" s="16">
        <f>SUM(K5:K54)-K55</f>
        <v>30599109.71</v>
      </c>
      <c r="L56" s="9"/>
      <c r="M56" s="9"/>
      <c r="N56" s="9"/>
      <c r="O56" s="9"/>
      <c r="P56" s="14"/>
      <c r="Q56" s="28"/>
      <c r="R56" s="29"/>
      <c r="S56" s="27"/>
      <c r="T56" s="27">
        <f>SUM(T5:T55)</f>
        <v>33011179.95</v>
      </c>
    </row>
  </sheetData>
  <sheetProtection/>
  <mergeCells count="26">
    <mergeCell ref="C1:N1"/>
    <mergeCell ref="P2:R2"/>
    <mergeCell ref="S2:T2"/>
    <mergeCell ref="C55:E55"/>
    <mergeCell ref="C56:E56"/>
    <mergeCell ref="C2:C3"/>
    <mergeCell ref="C5:C9"/>
    <mergeCell ref="C10:C14"/>
    <mergeCell ref="C15:C19"/>
    <mergeCell ref="C20:C24"/>
    <mergeCell ref="C25:C29"/>
    <mergeCell ref="C30:C34"/>
    <mergeCell ref="C35:C39"/>
    <mergeCell ref="C40:C44"/>
    <mergeCell ref="C45:C49"/>
    <mergeCell ref="C50:C54"/>
    <mergeCell ref="D2:D3"/>
    <mergeCell ref="E2:E3"/>
    <mergeCell ref="F2:F3"/>
    <mergeCell ref="G2:G3"/>
    <mergeCell ref="K2:K3"/>
    <mergeCell ref="L2:L3"/>
    <mergeCell ref="M2:M3"/>
    <mergeCell ref="N2:N3"/>
    <mergeCell ref="O2:O3"/>
    <mergeCell ref="H2:J3"/>
  </mergeCells>
  <printOptions/>
  <pageMargins left="0.51" right="0.39" top="0.51" bottom="0.24" header="0.28" footer="0.31"/>
  <pageSetup horizontalDpi="600" verticalDpi="600" orientation="landscape" paperSize="9" scale="73"/>
  <rowBreaks count="2" manualBreakCount="2">
    <brk id="44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胡隽骏</dc:creator>
  <cp:keywords/>
  <dc:description/>
  <cp:lastModifiedBy>Administrator</cp:lastModifiedBy>
  <dcterms:created xsi:type="dcterms:W3CDTF">2017-11-18T13:15:36Z</dcterms:created>
  <dcterms:modified xsi:type="dcterms:W3CDTF">2018-09-30T04:48:49Z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